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jpeg" ContentType="image/jpeg"/>
  <Default Extension="JPG" ContentType="image/.jp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Sheet1!$A$3:$U$48</definedName>
    <definedName name="_xlnm.Print_Area" localSheetId="0">Sheet1!$A$1:$P$47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63F70219281E41758B96B965EB64643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24525" y="1651000"/>
          <a:ext cx="2192655" cy="4521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" name="ID_25B098AF103140A1ADEB9832A774D8B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381625" y="4730750"/>
          <a:ext cx="2990215" cy="9563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CDC198D9C98447799A406FE6C31F9CD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495925" y="9140825"/>
          <a:ext cx="2900045" cy="116649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53EB7095F942490198863781F3F6E65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05475" y="11112500"/>
          <a:ext cx="2383155" cy="195961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51B9F00F99654096BAB946FB0F8FB15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981700" y="13519150"/>
          <a:ext cx="2018030" cy="13938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CDE8ABD59D6647ED8A1E762979508DEB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962650" y="15227300"/>
          <a:ext cx="1801495" cy="13639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4CFDA8430EB84059A48A6AE6F278713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981700" y="16903700"/>
          <a:ext cx="1678305" cy="1328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2663AE43328D4AA4A5CCF19618D0F3EC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895975" y="18897600"/>
          <a:ext cx="1842770" cy="13417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4C3AB75487084CFBA547ABEB6F16A8E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438775" y="20993100"/>
          <a:ext cx="3141345" cy="15398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7" name="ID_C0B631260B44473682E3D7F95A8EE47B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305425" y="23199725"/>
          <a:ext cx="3280410" cy="872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18095C4392894DD9B08593F95859DA9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5629275" y="24393525"/>
          <a:ext cx="2393950" cy="10750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648615C2E7584D68BD3BD3B960E9FC0A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886450" y="25742900"/>
          <a:ext cx="1643380" cy="1754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34A71A7BBB1E4B619F1CA5E6ACAC48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143625" y="27790775"/>
          <a:ext cx="1085850" cy="10255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F5865ACC8E1B4C0186BB655D7E7CF5E9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591175" y="29168725"/>
          <a:ext cx="2380615" cy="1082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54DDD014D5E4407B94BE3B35C5C7114D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010275" y="30549850"/>
          <a:ext cx="1598295" cy="1256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16119AF543BC4F21B75FDCFD27AE0FA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5838825" y="31984950"/>
          <a:ext cx="1931035" cy="12712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9CD3BA1AE3384E0E9D60F1E8598469FD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105525" y="35172650"/>
          <a:ext cx="1226820" cy="12077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1A12C734A252469D819EDC21AC1975B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5781675" y="37944425"/>
          <a:ext cx="2498725" cy="1603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FA0536AA4B93460EBED94AF29765875E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5638800" y="39922450"/>
          <a:ext cx="2589530" cy="1149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B783395282FC453BBE31724638B80510" descr="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048375" y="41449625"/>
          <a:ext cx="1657350" cy="1316990"/>
        </a:xfrm>
        <a:prstGeom prst="rect">
          <a:avLst/>
        </a:prstGeom>
      </xdr:spPr>
    </xdr:pic>
  </etc:cellImage>
  <etc:cellImage>
    <xdr:pic>
      <xdr:nvPicPr>
        <xdr:cNvPr id="30" name="ID_EEF9C519375B40B49273DA6FD9F333F5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186805" y="44412535"/>
          <a:ext cx="1217930" cy="1308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38C190DC673B40AFBDF7A48D2FF99589" descr="图片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649855" y="3441700"/>
          <a:ext cx="1510665" cy="1489710"/>
        </a:xfrm>
        <a:prstGeom prst="rect">
          <a:avLst/>
        </a:prstGeom>
      </xdr:spPr>
    </xdr:pic>
  </etc:cellImage>
  <etc:cellImage>
    <xdr:pic>
      <xdr:nvPicPr>
        <xdr:cNvPr id="6" name="ID_A48CFDB1B84A4A9ABD3ADA56440D1F0B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08405" y="2093595"/>
          <a:ext cx="1157605" cy="214566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E8D2448DF7564927B3D56AEB153C75B2"/>
        <xdr:cNvPicPr>
          <a:picLocks noChangeAspect="1"/>
        </xdr:cNvPicPr>
      </xdr:nvPicPr>
      <xdr:blipFill>
        <a:blip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" y="51746150"/>
          <a:ext cx="1386840" cy="571500"/>
        </a:xfrm>
        <a:prstGeom prst="rect">
          <a:avLst/>
        </a:prstGeom>
      </xdr:spPr>
    </xdr:pic>
  </etc:cellImage>
  <etc:cellImage>
    <xdr:pic>
      <xdr:nvPicPr>
        <xdr:cNvPr id="29" name="ID_C8E6B1B04C2A46C68DCF9C1BFFDB2D58"/>
        <xdr:cNvPicPr>
          <a:picLocks noChangeAspect="1"/>
        </xdr:cNvPicPr>
      </xdr:nvPicPr>
      <xdr:blipFill>
        <a:blip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120" y="41776015"/>
          <a:ext cx="1410335" cy="88836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<sst xmlns="http://schemas.openxmlformats.org/spreadsheetml/2006/main" count="130" uniqueCount="98">
  <si>
    <t>渝湘复线高速公路项目导视标识系统制作安装竞争性比选
已标价工程量清单</t>
  </si>
  <si>
    <t>序号</t>
  </si>
  <si>
    <t>名称</t>
  </si>
  <si>
    <t>参考图例</t>
  </si>
  <si>
    <t>规格</t>
  </si>
  <si>
    <t>数量
（1）+（2）+（3）</t>
  </si>
  <si>
    <t>单位</t>
  </si>
  <si>
    <t>不含税单价限价（元）</t>
  </si>
  <si>
    <t>不含税限价
合价（元）</t>
  </si>
  <si>
    <t>不含税
报价单价（元）</t>
  </si>
  <si>
    <t>（1）巴彭路</t>
  </si>
  <si>
    <t>（2）彭酉路</t>
  </si>
  <si>
    <t>（3）武道路</t>
  </si>
  <si>
    <t>不含税报价合价（元）（1）+（2）+（3）</t>
  </si>
  <si>
    <t>不含税报价小计（元）</t>
  </si>
  <si>
    <t>数量</t>
  </si>
  <si>
    <t>一、服务区标识（包含所有物料及安装等一切费用），涉及服务区：二圣服务区、黎香湖服务区、桥塘服务、芙蓉洞服务区、阿依河服务区、天馆服务、乌江画廊服务区、石桥服务区</t>
  </si>
  <si>
    <t>发光字（楼顶字）</t>
  </si>
  <si>
    <t>1.2mm镀锌板LED穿孔发光字+钢结构，9mm白色灯珠，字厚10cm，包含所以有物料及高空安装等一切费用</t>
  </si>
  <si>
    <t>平方</t>
  </si>
  <si>
    <t>入口标牌</t>
  </si>
  <si>
    <t>位置：入口主线与场地间的分流带内，距分流鼻宜≥20m，条件受限时可设于匝道外侧
内容要素：形象LOGO、服务区星级（可选）、服务区中英文名称、主要功能图标、营运公司名称、剩余停车位数（可选）
材料工艺：
（1）衬板：3.0mm乳白色透光亚克力板
（2）面板：1.2mm拉丝不锈钢烤漆
（3）光源：LED光源
（4）骨架：60mm×60mm×3.0mm（Q235）方钢管
（5）底座：3.5mx2.0mx1.5m（C25）现浇钢筋混凝土基础（预埋连接件）</t>
  </si>
  <si>
    <t>块</t>
  </si>
  <si>
    <t>场地位置（入口）—附着式</t>
  </si>
  <si>
    <t>3500mmx1200mm 
位置：主要功能建筑入口或立面
内容要素：位置中英文名称、主要功能图标及中英文名称、编号（可选）
材料工艺：
（1）衬板：5mm乳白色亚克力板材
（2）面板：1.2mm拉丝不锈钢烤漆
（3）光源：LED光源
（4）骨架：50mm×50mm×1.5mm（Q235）方钢管（用于版面宽3～5m）
 30mm×30mm×1.0mm（Q235）方钢管（用于版面宽1～3m）
安装：膨胀螺丝附着墙面固定，结构胶封边</t>
  </si>
  <si>
    <t>场地指向-多头指向式</t>
  </si>
  <si>
    <t xml:space="preserve">1400mmx2500mm
位置：场地主要人流节点，宜设于绿化带内，适用于较小场地或精确指向
内容要素：主要功能图标及中英文名称、指向箭头、形象LOGO（可选）、附加信息栏（可选）
材料工艺：
（1）衬板：3.0mm乳白色透光亚克力板
（2）面板：1.2mm拉丝不锈钢烤漆，模块式，可替换
（3）光源：LED光源
（4）骨架：80mm×80mm×2.0mm（Q235）方钢管
（5）底座：单脚开挖0.2mx0.2mx0.4m，骨架钢管插入后C25混凝土填埋
</t>
  </si>
  <si>
    <t>场地位置（维修间）—附着式</t>
  </si>
  <si>
    <t>2000mm*600mm
位置：主要功能建筑入口或立面
内容要素：位置中英文名称、主要功能图标及中英文名称、编号（可选）
材料工艺：
（1）衬板：5mm乳白色亚克力板材
（2）面板：1.2mm拉丝不锈钢烤漆
（3）光源：LED光源
（4）骨架：50mm×50mm×1.5mm（Q235）方钢管（用于版面宽3～5m）
 30mm×30mm×1.0mm（Q235）方钢管（用于版面宽1～3m）
安装：膨胀螺丝附着墙面固定，结构胶封边</t>
  </si>
  <si>
    <t>场地指向-标牌式</t>
  </si>
  <si>
    <t>800mm*2400mm 
位置：场地主要人流节点，宜设于绿化带内，适用于规模大、复杂程度高的场地综合指向
内容要素：场地平面图、主要功能图标及中英文名称、指向箭头、形象LOGO（可选）
材料工艺：
（1）衬板：3.0mm乳白色透光亚克力板
（2）面板：1.2mm拉丝不锈钢烤漆，模块式，可替换
（3）光源：LED光源
（4）骨架：80mm×80mm×2.0mm（Q235）方钢管
（5）底座：单脚开挖0.2mx0.2mx0.4m，骨架钢管插入后C25混凝土填埋</t>
  </si>
  <si>
    <t>室外地面指引牌(嵌入式)</t>
  </si>
  <si>
    <t>600mm*600mm
地面附着(嵌入式)
位置：场地次要人流节点，设于铺装人行道地面，用于辅助指向或不便设置综合指向牌处
内容要素；功能图标及中英文名称、指向箭头
字体：微软雅黑、Arial
标准色：咖啡色(C50 M70 Y80 K70)
材料工艺：面板：1.2mm不锈钢腐蚀填色光源：不发光
安装：折边10mm嵌入铺装地面，结构胶固定</t>
  </si>
  <si>
    <t>场地指向—地面附着式</t>
  </si>
  <si>
    <t>600mmx900mm
地面附着式
位置：场地次要人流节点，设于铺装人行道地面，用于辅助指向或不便设置综合指向牌处
内容要素；功能图标及中英文名称、指向箭头
字体：微软雅黑、Arial
标准色：咖啡色(C50 M70 Y80 K70)
材料工艺：面板：1.2mm不锈钢腐蚀填色光源：不发光
安装：折边10mm嵌入铺装地面，结构胶固定</t>
  </si>
  <si>
    <t>室内提示—可移动标牌式</t>
  </si>
  <si>
    <t>总高：800mm
 版面：400mm×300mm
位置：供打扫清洁、检修维修等临时警示性信息设置
内容要素：警示图标、中英文警示语
材料工艺：
（1）面板：1.2mm拉丝不锈钢烤漆
（2）光源：不发光
（3）骨架：40mm×20mm×1mm（Q235）矩形钢管支架
（4）底座：1.2mm拉丝不锈钢烤漆</t>
  </si>
  <si>
    <t>场地提示—标牌式（小型）</t>
  </si>
  <si>
    <t>400mmx700mm标牌式(小型)
位置：绿化带中花草提示，及其它需要较弱警示的情况
内容要素：警示图标(可选)、中英文警示语
字体：微软雅黑、Arial
标准色：咖啡色(C50 W70 Y80 K70)
材料工艺：
（1）面板：1.2mm镀锌板烤漆
（1）光源：不发光
（1）骨架：30mm×30mm×1,0mm(Q235)方钢管
安装：挖坑填理</t>
  </si>
  <si>
    <t xml:space="preserve">综合信息—公告栏
</t>
  </si>
  <si>
    <t xml:space="preserve">3000mm×2200mm
位置：远离车道边缘的人行广场，或其它利于人群聚集，适宜发布路网路况、服务指南、周边景区分布等综合信息的位置
内容要素：综合信息栏、形象LOGO（可选）、营运公司名称（可选）
材料工艺：
（1）衬板：5mm耐力板
（2）面板：1.2mm拉丝不锈钢烤漆
（3）光源：LED光源
（4）骨架：100mm×100mm×2.0mm（Q235）方钢管立柱；40mm×40mm×1.0mm（Q235）方钢管框架
（5） 底座：单脚开挖0.2mx0.2mx0.4m，骨架钢管插入后C25混凝土填埋
</t>
  </si>
  <si>
    <t xml:space="preserve">室内指向—悬挂式
</t>
  </si>
  <si>
    <t>2000mmx350mm
位置：主要通道上方
内容要素：主要功能图标及中英文名称、指向箭头
材料工艺：
（1）衬板：5mm乳白亚克力板材
（2）面板：2.0mm拉丝不锈钢烤漆
（3）光源：LED光源
（4）安装：丝杆吊装，套Φ19mm×0.7mm不锈钢烤漆圆管7mm镀锌板烤漆圆管</t>
  </si>
  <si>
    <t>室内指向—墙面附着式</t>
  </si>
  <si>
    <t>800mmx300mm
位置：不便设置悬挂式指向信息，且方便墙面或其它立面附着时
内容要素：主要功能图标及中英文名称、指向箭头
材料工艺：
（1）面板：1.2mm拉丝不锈钢烤漆
（2）光源：不发光
（3）安装：结构胶附墙粘接牢固</t>
  </si>
  <si>
    <t>室内指向—综合导向牌</t>
  </si>
  <si>
    <t xml:space="preserve">800mmx2400mm
位置：建筑主要人行入口或楼层主要人行入口综合指向
内容要素：形象LOGO（可选）、楼层（可选）、营运公司名称（可选）、楼层平面图、主要功能图标及中英文名称、各细部功能图标及中英文名称、指向箭头
内容组织：卫生间、服务楼等主要功能信息尺度应放大，子功能信息宜分类设置
材料工艺：
（1）衬板：5mm乳白亚克力板材
（2）面板：1.2mm拉丝不锈钢烤漆，局部模块式，可替换，宜预留可扩展信息位
（3）光源：LED光源
（4）骨架：30 mm×30mm×1.0mm（Q235）方钢管框架
（5）底座：1.2mm拉丝不锈钢烤漆
</t>
  </si>
  <si>
    <t>室内指向—地面附着式</t>
  </si>
  <si>
    <t>1000mmx1000mm
位置： 主要指向信息间距大于设计视距导致导向信息不连续时，作为辅助导向加密
内容要素：主要功能图标及中英文名称、形状为指向箭头
材料工艺：
（1）材质：车身贴打印
（2）光源：不发光
（3）安装：自带粘胶与地面粘牢</t>
  </si>
  <si>
    <t>室内位置—附着式</t>
  </si>
  <si>
    <t>350mmx150mm
位置：服务台或其它不便采用其它位置标示方式的公共空间主要位置
内容要素：中英文名称
材料工艺：
（1）面板：1.2mm拉丝不锈钢烤漆，内容丝印
（2）光源：不发光
（3）安装：结构胶附墙粘接牢固</t>
  </si>
  <si>
    <t>室内位置（男女卫生间标识）—造型灯箱</t>
  </si>
  <si>
    <t>男；340mmx1000mm；女350mmx1000mm
位置：主力公厕入口
内容要素：主要功能图标造型
材料工艺：面板： 1.2mm镀锌板烤漆
侧板：20mm亚克力背发光
光源：LED光源
安装：膨胀螺丝附着墙面固定， 结构胶封边</t>
  </si>
  <si>
    <t>套</t>
  </si>
  <si>
    <t>室内位置—悬挂式</t>
  </si>
  <si>
    <t>600mmx300mm
位置：收银台等公共空间次要位置
内容要素：主要功能图标及中英文名称
材料工艺：
（1）衬板：5mm乳白亚克力板材
（2）面板：1.2mm拉丝不锈钢烤漆
（3）光源：LED光源
（4）安装：丝杆吊装，套Φ19mm×0.7mm不锈钢烤漆圆管</t>
  </si>
  <si>
    <t>室内位置（主要位置）—附着式</t>
  </si>
  <si>
    <t xml:space="preserve">350mmx150mm
位置：服务台或其它不便采用其它位置标示方式的公共空间主要位置
内容要素：中英文名称
材料工艺：
（1）面板：1.2mm拉丝不锈钢烤漆，内容丝印
（2）光源：不发光
（3）安装：结构胶附墙粘接牢固
</t>
  </si>
  <si>
    <t>室内提示（主要位置提示）—附着式</t>
  </si>
  <si>
    <t>200mmx200mm
位置：需设置WIFI覆盖、监控覆盖、垃圾桶、明厨亮灶等提示性信息处
内容要素：主要功能图标、中英文提示语
材料工艺：
（1）面板：5mm亚克力烤漆
（2）光源：不发光
（3）安装：结构胶附墙粘接牢固</t>
  </si>
  <si>
    <t>室内提示（蹲位、小便器）</t>
  </si>
  <si>
    <t>洗手间蹲位，小便器提示牌</t>
  </si>
  <si>
    <t>250mmx100mm
位置：需设置蹲位、坐便、向前一小步、文明一大步等警示性信息处
内容要素：警示图标、中英文警示语
材料工艺：面板：5mm亚克力烤漆
光源：不发光
安装：结构胶附墙粘接牢固</t>
  </si>
  <si>
    <t xml:space="preserve">室内提示—附着式
</t>
  </si>
  <si>
    <t xml:space="preserve">250mmx100mm
位置：需设置小心烫手、小心地滑、禁止吸烟、禁止入内等警示性信息处
内容要素：警示图标、中英文警示语
材料工艺：
（1）面板：5mm亚克力烤漆
（2）光源：不发光
（3）安装：结构胶附墙粘接牢固
</t>
  </si>
  <si>
    <t>场地提示—立面附着式</t>
  </si>
  <si>
    <t>400X600mm
位置：建筑物或有其它可附着物周边，需设警示、提示信息的情况
内容要素：警示图标（可选）、中英文警示语
材料工艺：
（1）面板：1.2mm拉丝不锈钢烤漆
（2）光源：不发光
（3）安装：结构胶附墙粘接牢固</t>
  </si>
  <si>
    <t>场地提示—标牌式（大型）</t>
  </si>
  <si>
    <t xml:space="preserve">
总高：1800mm
版面：600X800mm
位置：主线与场地之间，及其它需要强烈警示的情况
内容要素：警示图标、中英文警示语
材料工艺：
（1）面板：1.2mm拉丝不锈钢烤漆
（2）光源：不发光
（3） 骨架：60mm×60mm×1.5mm（Q235）方钢管
（4）底座：单脚开挖0.2mx0.2mx0.4m，骨架钢管插入后C25混凝土填埋
</t>
  </si>
  <si>
    <t>室内位置（次要位置）—附着式</t>
  </si>
  <si>
    <t>200X100mm
位置：无障碍卫生间等公共空间次要位置门头上方，其入口正对主要人行来向时
内容要素：主要功能图标及中英文名称
材料工艺：
（1）面板：1.2mm拉丝不锈钢烤漆
（2）光源：不发光
（3）安装：结构胶附墙粘接牢固</t>
  </si>
  <si>
    <t>垃圾箱</t>
  </si>
  <si>
    <t>800mmx900mmx400mm
镀锌板镀锌板激光切割折弯焊接成型，表面汽车烤漆工艺处理，顶部留烟灰缸</t>
  </si>
  <si>
    <t>合计</t>
  </si>
  <si>
    <t>二、基础土建费用</t>
  </si>
  <si>
    <t>基础预埋</t>
  </si>
  <si>
    <t>C25混凝土+预埋</t>
  </si>
  <si>
    <t>方</t>
  </si>
  <si>
    <t>基础开挖回填</t>
  </si>
  <si>
    <t>处</t>
  </si>
  <si>
    <t>沟槽开挖回填</t>
  </si>
  <si>
    <t>米</t>
  </si>
  <si>
    <t>绿化恢复</t>
  </si>
  <si>
    <t>电线电缆</t>
  </si>
  <si>
    <t>国标6平方电线</t>
  </si>
  <si>
    <t>线管</t>
  </si>
  <si>
    <t>50PVC管</t>
  </si>
  <si>
    <t>三、建安费合计（一+二）</t>
  </si>
  <si>
    <t>四、安全生产费（1.5%建安费）</t>
  </si>
  <si>
    <t>项</t>
  </si>
  <si>
    <t>五、总计（三+四）</t>
  </si>
  <si>
    <t>六、投标报价</t>
  </si>
  <si>
    <t>投标人填报：下浮率a（a≥7.00%）</t>
  </si>
  <si>
    <t>投标人填报：增值税专用发票抵扣税率b</t>
  </si>
  <si>
    <r>
      <t>比选申请人（盖单位公章）：</t>
    </r>
    <r>
      <rPr>
        <u/>
        <sz val="10"/>
        <color theme="1"/>
        <rFont val="宋体"/>
        <charset val="134"/>
      </rPr>
      <t xml:space="preserve">                  </t>
    </r>
  </si>
  <si>
    <r>
      <rPr>
        <sz val="10"/>
        <color theme="1"/>
        <rFont val="宋体"/>
        <charset val="134"/>
      </rPr>
      <t>法定代表人（或授权代表）：</t>
    </r>
    <r>
      <rPr>
        <u/>
        <sz val="10"/>
        <color theme="1"/>
        <rFont val="宋体"/>
        <charset val="134"/>
      </rPr>
      <t xml:space="preserve">                  </t>
    </r>
  </si>
  <si>
    <r>
      <rPr>
        <sz val="10"/>
        <color theme="1"/>
        <rFont val="宋体"/>
        <charset val="134"/>
      </rPr>
      <t xml:space="preserve">                联系电话：</t>
    </r>
    <r>
      <rPr>
        <u/>
        <sz val="10"/>
        <color theme="1"/>
        <rFont val="宋体"/>
        <charset val="134"/>
      </rPr>
      <t xml:space="preserve">                  </t>
    </r>
  </si>
  <si>
    <r>
      <rPr>
        <sz val="9"/>
        <color theme="1"/>
        <rFont val="宋体"/>
        <charset val="134"/>
      </rPr>
      <t xml:space="preserve">                    日期：</t>
    </r>
    <r>
      <rPr>
        <u/>
        <sz val="9"/>
        <color theme="1"/>
        <rFont val="宋体"/>
        <charset val="134"/>
      </rPr>
      <t xml:space="preserve">   年    月    日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</si>
</sst>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5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  <scheme val="minor"/>
    </font>
    <font>
      <b/>
      <sz val="10"/>
      <name val="宋体"/>
      <charset val="134"/>
      <scheme val="minor"/>
    </font>
    <font>
      <sz val="10"/>
      <name val="方正黑体_GBK"/>
      <charset val="134"/>
    </font>
    <font>
      <sz val="9"/>
      <name val="方正黑体_GBK"/>
      <charset val="134"/>
    </font>
    <font>
      <b/>
      <sz val="10"/>
      <name val="宋体"/>
      <charset val="134"/>
    </font>
    <font>
      <sz val="10"/>
      <name val="宋体"/>
      <charset val="134"/>
    </font>
    <font>
      <sz val="10"/>
      <color theme="1" tint="0.149937437055574"/>
      <name val="宋体"/>
      <charset val="134"/>
    </font>
    <font>
      <sz val="10"/>
      <color theme="1"/>
      <name val="宋体"/>
      <charset val="134"/>
    </font>
    <font>
      <sz val="9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u/>
      <sz val="10"/>
      <color theme="1"/>
      <name val="宋体"/>
      <charset val="134"/>
    </font>
    <font>
      <u/>
      <sz val="9"/>
      <color theme="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30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1" applyNumberFormat="0" applyFill="0" applyAlignment="0" applyProtection="0">
      <alignment vertical="center"/>
    </xf>
    <xf numFmtId="0" fontId="19" fillId="0" borderId="31" applyNumberFormat="0" applyFill="0" applyAlignment="0" applyProtection="0">
      <alignment vertical="center"/>
    </xf>
    <xf numFmtId="0" fontId="20" fillId="0" borderId="3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33" applyNumberFormat="0" applyAlignment="0" applyProtection="0">
      <alignment vertical="center"/>
    </xf>
    <xf numFmtId="0" fontId="22" fillId="6" borderId="34" applyNumberFormat="0" applyAlignment="0" applyProtection="0">
      <alignment vertical="center"/>
    </xf>
    <xf numFmtId="0" fontId="23" fillId="6" borderId="33" applyNumberFormat="0" applyAlignment="0" applyProtection="0">
      <alignment vertical="center"/>
    </xf>
    <xf numFmtId="0" fontId="24" fillId="7" borderId="35" applyNumberFormat="0" applyAlignment="0" applyProtection="0">
      <alignment vertical="center"/>
    </xf>
    <xf numFmtId="0" fontId="25" fillId="0" borderId="36" applyNumberFormat="0" applyFill="0" applyAlignment="0" applyProtection="0">
      <alignment vertical="center"/>
    </xf>
    <xf numFmtId="0" fontId="26" fillId="0" borderId="37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2" fillId="0" borderId="0" applyBorder="0">
      <alignment vertical="center"/>
    </xf>
  </cellStyleXfs>
  <cellXfs count="105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0" borderId="0" xfId="0" applyFo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 wrapText="1"/>
    </xf>
    <xf numFmtId="0" fontId="1" fillId="0" borderId="10" xfId="0" applyFont="1" applyFill="1" applyBorder="1" applyAlignment="1">
      <alignment horizontal="center" vertical="center"/>
    </xf>
    <xf numFmtId="176" fontId="1" fillId="0" borderId="10" xfId="0" applyNumberFormat="1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7" fontId="5" fillId="0" borderId="10" xfId="0" applyNumberFormat="1" applyFont="1" applyFill="1" applyBorder="1" applyAlignment="1">
      <alignment horizontal="center" vertical="center" wrapText="1"/>
    </xf>
    <xf numFmtId="176" fontId="5" fillId="0" borderId="10" xfId="0" applyNumberFormat="1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left" vertical="center" wrapText="1"/>
    </xf>
    <xf numFmtId="0" fontId="10" fillId="3" borderId="12" xfId="49" applyFont="1" applyFill="1" applyBorder="1" applyAlignment="1" applyProtection="1">
      <alignment horizontal="left" vertical="center" wrapText="1"/>
      <protection hidden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left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vertical="center"/>
    </xf>
    <xf numFmtId="176" fontId="1" fillId="0" borderId="5" xfId="0" applyNumberFormat="1" applyFont="1" applyFill="1" applyBorder="1" applyAlignment="1">
      <alignment vertical="center"/>
    </xf>
    <xf numFmtId="176" fontId="5" fillId="0" borderId="5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 wrapText="1"/>
    </xf>
    <xf numFmtId="177" fontId="8" fillId="0" borderId="7" xfId="0" applyNumberFormat="1" applyFont="1" applyFill="1" applyBorder="1" applyAlignment="1">
      <alignment vertical="center" wrapText="1"/>
    </xf>
    <xf numFmtId="0" fontId="8" fillId="0" borderId="27" xfId="0" applyFont="1" applyFill="1" applyBorder="1" applyAlignment="1">
      <alignment vertical="center" wrapText="1"/>
    </xf>
    <xf numFmtId="0" fontId="8" fillId="0" borderId="7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1" fillId="0" borderId="28" xfId="0" applyFont="1" applyFill="1" applyBorder="1" applyAlignment="1">
      <alignment vertical="center"/>
    </xf>
    <xf numFmtId="176" fontId="1" fillId="0" borderId="28" xfId="0" applyNumberFormat="1" applyFont="1" applyFill="1" applyBorder="1" applyAlignment="1">
      <alignment horizontal="center" vertical="center"/>
    </xf>
    <xf numFmtId="176" fontId="1" fillId="0" borderId="12" xfId="0" applyNumberFormat="1" applyFont="1" applyFill="1" applyBorder="1" applyAlignment="1">
      <alignment horizontal="center" vertical="center"/>
    </xf>
    <xf numFmtId="176" fontId="1" fillId="0" borderId="28" xfId="0" applyNumberFormat="1" applyFont="1" applyFill="1" applyBorder="1" applyAlignment="1">
      <alignment vertical="center"/>
    </xf>
    <xf numFmtId="176" fontId="5" fillId="0" borderId="28" xfId="0" applyNumberFormat="1" applyFont="1" applyFill="1" applyBorder="1" applyAlignment="1">
      <alignment horizontal="center" vertical="center"/>
    </xf>
    <xf numFmtId="176" fontId="5" fillId="0" borderId="12" xfId="0" applyNumberFormat="1" applyFont="1" applyFill="1" applyBorder="1" applyAlignment="1">
      <alignment horizontal="center" vertical="center"/>
    </xf>
    <xf numFmtId="0" fontId="1" fillId="0" borderId="27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176" fontId="5" fillId="0" borderId="27" xfId="0" applyNumberFormat="1" applyFont="1" applyFill="1" applyBorder="1" applyAlignment="1">
      <alignment vertical="center" wrapText="1"/>
    </xf>
    <xf numFmtId="177" fontId="5" fillId="0" borderId="9" xfId="0" applyNumberFormat="1" applyFont="1" applyFill="1" applyBorder="1" applyAlignment="1">
      <alignment horizontal="center" vertical="center"/>
    </xf>
    <xf numFmtId="176" fontId="5" fillId="0" borderId="9" xfId="0" applyNumberFormat="1" applyFont="1" applyFill="1" applyBorder="1" applyAlignment="1">
      <alignment horizontal="center" vertical="center"/>
    </xf>
    <xf numFmtId="177" fontId="1" fillId="0" borderId="9" xfId="0" applyNumberFormat="1" applyFont="1" applyFill="1" applyBorder="1" applyAlignment="1">
      <alignment horizontal="center" vertical="center"/>
    </xf>
    <xf numFmtId="176" fontId="1" fillId="0" borderId="12" xfId="0" applyNumberFormat="1" applyFont="1" applyFill="1" applyBorder="1" applyAlignment="1">
      <alignment vertical="center"/>
    </xf>
    <xf numFmtId="177" fontId="5" fillId="0" borderId="4" xfId="0" applyNumberFormat="1" applyFont="1" applyFill="1" applyBorder="1" applyAlignment="1">
      <alignment horizontal="center" vertical="center"/>
    </xf>
    <xf numFmtId="176" fontId="5" fillId="0" borderId="23" xfId="0" applyNumberFormat="1" applyFont="1" applyFill="1" applyBorder="1" applyAlignment="1">
      <alignment horizontal="center" vertical="center"/>
    </xf>
    <xf numFmtId="176" fontId="5" fillId="0" borderId="4" xfId="0" applyNumberFormat="1" applyFont="1" applyFill="1" applyBorder="1" applyAlignment="1">
      <alignment horizontal="center" vertical="center"/>
    </xf>
    <xf numFmtId="176" fontId="5" fillId="0" borderId="24" xfId="0" applyNumberFormat="1" applyFont="1" applyFill="1" applyBorder="1" applyAlignment="1">
      <alignment horizontal="center" vertical="center"/>
    </xf>
    <xf numFmtId="176" fontId="5" fillId="0" borderId="16" xfId="0" applyNumberFormat="1" applyFont="1" applyFill="1" applyBorder="1" applyAlignment="1">
      <alignment horizontal="center" vertical="center"/>
    </xf>
    <xf numFmtId="176" fontId="5" fillId="0" borderId="29" xfId="0" applyNumberFormat="1" applyFont="1" applyFill="1" applyBorder="1" applyAlignment="1">
      <alignment horizontal="center" vertical="center"/>
    </xf>
    <xf numFmtId="10" fontId="5" fillId="0" borderId="2" xfId="0" applyNumberFormat="1" applyFont="1" applyFill="1" applyBorder="1" applyAlignment="1">
      <alignment horizontal="center" vertical="center"/>
    </xf>
    <xf numFmtId="10" fontId="5" fillId="0" borderId="18" xfId="0" applyNumberFormat="1" applyFont="1" applyFill="1" applyBorder="1" applyAlignment="1">
      <alignment horizontal="center" vertical="center"/>
    </xf>
    <xf numFmtId="9" fontId="5" fillId="0" borderId="17" xfId="0" applyNumberFormat="1" applyFont="1" applyFill="1" applyBorder="1" applyAlignment="1">
      <alignment horizontal="center" vertical="center"/>
    </xf>
    <xf numFmtId="9" fontId="5" fillId="0" borderId="29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png"/><Relationship Id="rId8" Type="http://schemas.openxmlformats.org/officeDocument/2006/relationships/image" Target="media/image9.png"/><Relationship Id="rId7" Type="http://schemas.openxmlformats.org/officeDocument/2006/relationships/image" Target="media/image8.png"/><Relationship Id="rId6" Type="http://schemas.openxmlformats.org/officeDocument/2006/relationships/image" Target="media/image7.png"/><Relationship Id="rId5" Type="http://schemas.openxmlformats.org/officeDocument/2006/relationships/image" Target="media/image6.png"/><Relationship Id="rId4" Type="http://schemas.openxmlformats.org/officeDocument/2006/relationships/image" Target="media/image5.png"/><Relationship Id="rId3" Type="http://schemas.openxmlformats.org/officeDocument/2006/relationships/image" Target="media/image4.png"/><Relationship Id="rId25" Type="http://schemas.openxmlformats.org/officeDocument/2006/relationships/image" Target="media/image26.jpeg"/><Relationship Id="rId24" Type="http://schemas.openxmlformats.org/officeDocument/2006/relationships/image" Target="media/image25.jpeg"/><Relationship Id="rId23" Type="http://schemas.openxmlformats.org/officeDocument/2006/relationships/image" Target="media/image24.png"/><Relationship Id="rId22" Type="http://schemas.openxmlformats.org/officeDocument/2006/relationships/image" Target="media/image23.png"/><Relationship Id="rId21" Type="http://schemas.openxmlformats.org/officeDocument/2006/relationships/image" Target="media/image22.png"/><Relationship Id="rId20" Type="http://schemas.openxmlformats.org/officeDocument/2006/relationships/image" Target="media/image21.jpeg"/><Relationship Id="rId2" Type="http://schemas.openxmlformats.org/officeDocument/2006/relationships/image" Target="media/image3.png"/><Relationship Id="rId19" Type="http://schemas.openxmlformats.org/officeDocument/2006/relationships/image" Target="media/image20.png"/><Relationship Id="rId18" Type="http://schemas.openxmlformats.org/officeDocument/2006/relationships/image" Target="media/image19.png"/><Relationship Id="rId17" Type="http://schemas.openxmlformats.org/officeDocument/2006/relationships/image" Target="media/image18.png"/><Relationship Id="rId16" Type="http://schemas.openxmlformats.org/officeDocument/2006/relationships/image" Target="media/image17.png"/><Relationship Id="rId15" Type="http://schemas.openxmlformats.org/officeDocument/2006/relationships/image" Target="media/image16.png"/><Relationship Id="rId14" Type="http://schemas.openxmlformats.org/officeDocument/2006/relationships/image" Target="media/image15.png"/><Relationship Id="rId13" Type="http://schemas.openxmlformats.org/officeDocument/2006/relationships/image" Target="media/image14.png"/><Relationship Id="rId12" Type="http://schemas.openxmlformats.org/officeDocument/2006/relationships/image" Target="media/image13.png"/><Relationship Id="rId11" Type="http://schemas.openxmlformats.org/officeDocument/2006/relationships/image" Target="media/image12.png"/><Relationship Id="rId10" Type="http://schemas.openxmlformats.org/officeDocument/2006/relationships/image" Target="media/image11.png"/><Relationship Id="rId1" Type="http://schemas.openxmlformats.org/officeDocument/2006/relationships/image" Target="media/image2.png"/></Relationships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706755</xdr:colOff>
      <xdr:row>7</xdr:row>
      <xdr:rowOff>1316355</xdr:rowOff>
    </xdr:from>
    <xdr:to>
      <xdr:col>2</xdr:col>
      <xdr:colOff>1130935</xdr:colOff>
      <xdr:row>7</xdr:row>
      <xdr:rowOff>1419225</xdr:rowOff>
    </xdr:to>
    <xdr:pic>
      <xdr:nvPicPr>
        <xdr:cNvPr id="8" name="图片 7"/>
        <xdr:cNvPicPr>
          <a:picLocks noChangeAspect="1"/>
        </xdr:cNvPicPr>
      </xdr:nvPicPr>
      <xdr:blipFill>
        <a:blip r:embed="rId1"/>
        <a:srcRect l="63280" t="79514" r="29440" b="13597"/>
        <a:stretch>
          <a:fillRect/>
        </a:stretch>
      </xdr:blipFill>
      <xdr:spPr>
        <a:xfrm>
          <a:off x="1894840" y="8148955"/>
          <a:ext cx="424180" cy="1028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49"/>
  <sheetViews>
    <sheetView showZeros="0" tabSelected="1" view="pageBreakPreview" zoomScale="145" zoomScaleNormal="50" workbookViewId="0">
      <pane ySplit="3" topLeftCell="A31" activePane="bottomLeft" state="frozen"/>
      <selection/>
      <selection pane="bottomLeft" activeCell="O42" sqref="O42"/>
    </sheetView>
  </sheetViews>
  <sheetFormatPr defaultColWidth="8.725" defaultRowHeight="25" customHeight="1"/>
  <cols>
    <col min="1" max="1" width="5.375" style="6" customWidth="1"/>
    <col min="2" max="2" width="10.2166666666667" style="7" customWidth="1"/>
    <col min="3" max="3" width="19.2333333333333" style="6" customWidth="1"/>
    <col min="4" max="4" width="28.8" style="8" customWidth="1"/>
    <col min="5" max="5" width="10.2083333333333" style="7" customWidth="1"/>
    <col min="6" max="6" width="4.89166666666667" style="7" customWidth="1"/>
    <col min="7" max="7" width="9.23333333333333" style="7" customWidth="1"/>
    <col min="8" max="8" width="11.7416666666667" style="7" customWidth="1"/>
    <col min="9" max="9" width="7.93333333333333" style="7" customWidth="1"/>
    <col min="10" max="10" width="5.43333333333333" style="7" customWidth="1"/>
    <col min="11" max="11" width="11.7416666666667" style="7" customWidth="1"/>
    <col min="12" max="12" width="5.43333333333333" style="7" customWidth="1"/>
    <col min="13" max="13" width="11.7416666666667" style="7" customWidth="1"/>
    <col min="14" max="14" width="5.43333333333333" style="7" customWidth="1"/>
    <col min="15" max="15" width="11.7416666666667" style="6" customWidth="1"/>
    <col min="16" max="16" width="13.6916666666667" style="7" customWidth="1"/>
    <col min="17" max="16384" width="8.725" style="7"/>
  </cols>
  <sheetData>
    <row r="1" ht="42" customHeight="1" spans="1:16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</row>
    <row r="2" s="1" customFormat="1" ht="22" customHeight="1" spans="1:16">
      <c r="A2" s="10" t="s">
        <v>1</v>
      </c>
      <c r="B2" s="11" t="s">
        <v>2</v>
      </c>
      <c r="C2" s="12" t="s">
        <v>3</v>
      </c>
      <c r="D2" s="11" t="s">
        <v>4</v>
      </c>
      <c r="E2" s="13" t="s">
        <v>5</v>
      </c>
      <c r="F2" s="14" t="s">
        <v>6</v>
      </c>
      <c r="G2" s="11" t="s">
        <v>7</v>
      </c>
      <c r="H2" s="11" t="s">
        <v>8</v>
      </c>
      <c r="I2" s="61" t="s">
        <v>9</v>
      </c>
      <c r="J2" s="62" t="s">
        <v>10</v>
      </c>
      <c r="K2" s="63"/>
      <c r="L2" s="62" t="s">
        <v>11</v>
      </c>
      <c r="M2" s="64"/>
      <c r="N2" s="65" t="s">
        <v>12</v>
      </c>
      <c r="O2" s="66"/>
      <c r="P2" s="67" t="s">
        <v>13</v>
      </c>
    </row>
    <row r="3" s="1" customFormat="1" ht="31" customHeight="1" spans="1:16">
      <c r="A3" s="15"/>
      <c r="B3" s="16"/>
      <c r="C3" s="17"/>
      <c r="D3" s="16"/>
      <c r="E3" s="18"/>
      <c r="F3" s="19"/>
      <c r="G3" s="16"/>
      <c r="H3" s="16"/>
      <c r="I3" s="68" t="s">
        <v>14</v>
      </c>
      <c r="J3" s="69" t="s">
        <v>15</v>
      </c>
      <c r="K3" s="68" t="s">
        <v>14</v>
      </c>
      <c r="L3" s="69" t="s">
        <v>15</v>
      </c>
      <c r="M3" s="70" t="s">
        <v>14</v>
      </c>
      <c r="N3" s="71" t="s">
        <v>15</v>
      </c>
      <c r="O3" s="68" t="s">
        <v>14</v>
      </c>
      <c r="P3" s="72"/>
    </row>
    <row r="4" s="2" customFormat="1" ht="28" customHeight="1" spans="1:16">
      <c r="A4" s="20" t="s">
        <v>16</v>
      </c>
      <c r="B4" s="21"/>
      <c r="C4" s="21"/>
      <c r="D4" s="21"/>
      <c r="E4" s="21"/>
      <c r="F4" s="21"/>
      <c r="G4" s="21"/>
      <c r="H4" s="21"/>
      <c r="I4" s="73"/>
      <c r="J4" s="74"/>
      <c r="K4" s="75"/>
      <c r="L4" s="76"/>
      <c r="M4" s="77"/>
      <c r="N4" s="76"/>
      <c r="O4" s="75"/>
      <c r="P4" s="75"/>
    </row>
    <row r="5" s="3" customFormat="1" ht="36" spans="1:16">
      <c r="A5" s="22">
        <v>1</v>
      </c>
      <c r="B5" s="23" t="s">
        <v>17</v>
      </c>
      <c r="C5" s="23" t="str">
        <f>_xlfn.DISPIMG("ID_63F70219281E41758B96B965EB646430",1)</f>
        <v>=DISPIMG("ID_63F70219281E41758B96B965EB646430",1)</v>
      </c>
      <c r="D5" s="24" t="s">
        <v>18</v>
      </c>
      <c r="E5" s="25">
        <f t="shared" ref="E5:E24" si="0">J5+L5+N5</f>
        <v>1413</v>
      </c>
      <c r="F5" s="25" t="s">
        <v>19</v>
      </c>
      <c r="G5" s="26">
        <v>704.59</v>
      </c>
      <c r="H5" s="26">
        <f t="shared" ref="H5:H40" si="1">ROUND(E5*G5,2)</f>
        <v>995585.67</v>
      </c>
      <c r="I5" s="78">
        <f t="shared" ref="I5:I31" si="2">ROUND(G5*(1-$J$43),2)</f>
        <v>704.59</v>
      </c>
      <c r="J5" s="25">
        <v>708</v>
      </c>
      <c r="K5" s="79">
        <f>ROUND($I5*J5,2)</f>
        <v>498849.72</v>
      </c>
      <c r="L5" s="25">
        <v>570</v>
      </c>
      <c r="M5" s="80">
        <f t="shared" ref="M5:M30" si="3">ROUND($I5*L5,2)</f>
        <v>401616.3</v>
      </c>
      <c r="N5" s="22">
        <v>135</v>
      </c>
      <c r="O5" s="79">
        <f t="shared" ref="O5:O30" si="4">ROUND($I5*N5,2)</f>
        <v>95119.65</v>
      </c>
      <c r="P5" s="81">
        <f>K5+M5+O5</f>
        <v>995585.67</v>
      </c>
    </row>
    <row r="6" s="4" customFormat="1" ht="198" customHeight="1" spans="1:16">
      <c r="A6" s="22">
        <v>2</v>
      </c>
      <c r="B6" s="23" t="s">
        <v>20</v>
      </c>
      <c r="C6" s="23" t="str">
        <f>_xlfn.DISPIMG("ID_A48CFDB1B84A4A9ABD3ADA56440D1F0B",1)</f>
        <v>=DISPIMG("ID_A48CFDB1B84A4A9ABD3ADA56440D1F0B",1)</v>
      </c>
      <c r="D6" s="24" t="s">
        <v>21</v>
      </c>
      <c r="E6" s="25">
        <f t="shared" si="0"/>
        <v>16</v>
      </c>
      <c r="F6" s="23" t="s">
        <v>22</v>
      </c>
      <c r="G6" s="26">
        <v>38532.11</v>
      </c>
      <c r="H6" s="26">
        <f t="shared" si="1"/>
        <v>616513.76</v>
      </c>
      <c r="I6" s="78">
        <f t="shared" si="2"/>
        <v>38532.11</v>
      </c>
      <c r="J6" s="25">
        <v>8</v>
      </c>
      <c r="K6" s="79">
        <f t="shared" ref="K6:K30" si="5">ROUND($I6*J6,2)</f>
        <v>308256.88</v>
      </c>
      <c r="L6" s="25">
        <v>6</v>
      </c>
      <c r="M6" s="80">
        <f t="shared" si="3"/>
        <v>231192.66</v>
      </c>
      <c r="N6" s="22">
        <v>2</v>
      </c>
      <c r="O6" s="79">
        <f t="shared" si="4"/>
        <v>77064.22</v>
      </c>
      <c r="P6" s="81">
        <f t="shared" ref="P6:P30" si="6">K6+M6+O6</f>
        <v>616513.76</v>
      </c>
    </row>
    <row r="7" s="4" customFormat="1" ht="181" customHeight="1" spans="1:16">
      <c r="A7" s="22">
        <v>3</v>
      </c>
      <c r="B7" s="23" t="s">
        <v>23</v>
      </c>
      <c r="C7" s="23" t="str">
        <f>_xlfn.DISPIMG("ID_25B098AF103140A1ADEB9832A774D8B9",1)</f>
        <v>=DISPIMG("ID_25B098AF103140A1ADEB9832A774D8B9",1)</v>
      </c>
      <c r="D7" s="24" t="s">
        <v>24</v>
      </c>
      <c r="E7" s="25">
        <f t="shared" si="0"/>
        <v>16</v>
      </c>
      <c r="F7" s="23" t="s">
        <v>22</v>
      </c>
      <c r="G7" s="26">
        <v>6165.14</v>
      </c>
      <c r="H7" s="26">
        <f t="shared" si="1"/>
        <v>98642.24</v>
      </c>
      <c r="I7" s="78">
        <f t="shared" si="2"/>
        <v>6165.14</v>
      </c>
      <c r="J7" s="25">
        <v>8</v>
      </c>
      <c r="K7" s="79">
        <f t="shared" si="5"/>
        <v>49321.12</v>
      </c>
      <c r="L7" s="25">
        <v>6</v>
      </c>
      <c r="M7" s="80">
        <f t="shared" si="3"/>
        <v>36990.84</v>
      </c>
      <c r="N7" s="22">
        <v>2</v>
      </c>
      <c r="O7" s="79">
        <f t="shared" si="4"/>
        <v>12330.28</v>
      </c>
      <c r="P7" s="81">
        <f t="shared" si="6"/>
        <v>98642.24</v>
      </c>
    </row>
    <row r="8" s="4" customFormat="1" ht="213" customHeight="1" spans="1:16">
      <c r="A8" s="22">
        <v>4</v>
      </c>
      <c r="B8" s="23" t="s">
        <v>25</v>
      </c>
      <c r="C8" s="23" t="str">
        <f>_xlfn.DISPIMG("ID_38C190DC673B40AFBDF7A48D2FF99589",1)</f>
        <v>=DISPIMG("ID_38C190DC673B40AFBDF7A48D2FF99589",1)</v>
      </c>
      <c r="D8" s="24" t="s">
        <v>26</v>
      </c>
      <c r="E8" s="25">
        <f t="shared" si="0"/>
        <v>60</v>
      </c>
      <c r="F8" s="23" t="s">
        <v>22</v>
      </c>
      <c r="G8" s="26">
        <v>2215.6</v>
      </c>
      <c r="H8" s="26">
        <f t="shared" si="1"/>
        <v>132936</v>
      </c>
      <c r="I8" s="78">
        <f t="shared" si="2"/>
        <v>2215.6</v>
      </c>
      <c r="J8" s="25">
        <v>30</v>
      </c>
      <c r="K8" s="79">
        <f t="shared" si="5"/>
        <v>66468</v>
      </c>
      <c r="L8" s="25">
        <v>24</v>
      </c>
      <c r="M8" s="80">
        <f t="shared" si="3"/>
        <v>53174.4</v>
      </c>
      <c r="N8" s="22">
        <v>6</v>
      </c>
      <c r="O8" s="79">
        <f t="shared" si="4"/>
        <v>13293.6</v>
      </c>
      <c r="P8" s="81">
        <f t="shared" si="6"/>
        <v>132936</v>
      </c>
    </row>
    <row r="9" s="4" customFormat="1" ht="224" customHeight="1" spans="1:16">
      <c r="A9" s="22">
        <v>5</v>
      </c>
      <c r="B9" s="23" t="s">
        <v>27</v>
      </c>
      <c r="C9" s="23" t="str">
        <f>_xlfn.DISPIMG("ID_CDC198D9C98447799A406FE6C31F9CDD",1)</f>
        <v>=DISPIMG("ID_CDC198D9C98447799A406FE6C31F9CDD",1)</v>
      </c>
      <c r="D9" s="24" t="s">
        <v>28</v>
      </c>
      <c r="E9" s="25">
        <f t="shared" si="0"/>
        <v>16</v>
      </c>
      <c r="F9" s="23" t="s">
        <v>22</v>
      </c>
      <c r="G9" s="26">
        <v>1467.89</v>
      </c>
      <c r="H9" s="26">
        <f t="shared" si="1"/>
        <v>23486.24</v>
      </c>
      <c r="I9" s="78">
        <f t="shared" si="2"/>
        <v>1467.89</v>
      </c>
      <c r="J9" s="25">
        <v>8</v>
      </c>
      <c r="K9" s="79">
        <f t="shared" si="5"/>
        <v>11743.12</v>
      </c>
      <c r="L9" s="25">
        <v>6</v>
      </c>
      <c r="M9" s="80">
        <f t="shared" si="3"/>
        <v>8807.34</v>
      </c>
      <c r="N9" s="22">
        <v>2</v>
      </c>
      <c r="O9" s="79">
        <f t="shared" si="4"/>
        <v>2935.78</v>
      </c>
      <c r="P9" s="81">
        <f t="shared" si="6"/>
        <v>23486.24</v>
      </c>
    </row>
    <row r="10" s="4" customFormat="1" ht="275" customHeight="1" spans="1:16">
      <c r="A10" s="22">
        <v>6</v>
      </c>
      <c r="B10" s="23" t="s">
        <v>29</v>
      </c>
      <c r="C10" s="23" t="str">
        <f>_xlfn.DISPIMG("ID_53EB7095F942490198863781F3F6E65C",1)</f>
        <v>=DISPIMG("ID_53EB7095F942490198863781F3F6E65C",1)</v>
      </c>
      <c r="D10" s="24" t="s">
        <v>30</v>
      </c>
      <c r="E10" s="25">
        <f t="shared" si="0"/>
        <v>22</v>
      </c>
      <c r="F10" s="23" t="s">
        <v>22</v>
      </c>
      <c r="G10" s="26">
        <v>2935.78</v>
      </c>
      <c r="H10" s="26">
        <f t="shared" si="1"/>
        <v>64587.16</v>
      </c>
      <c r="I10" s="78">
        <f t="shared" si="2"/>
        <v>2935.78</v>
      </c>
      <c r="J10" s="25">
        <v>10</v>
      </c>
      <c r="K10" s="79">
        <f t="shared" si="5"/>
        <v>29357.8</v>
      </c>
      <c r="L10" s="25">
        <v>10</v>
      </c>
      <c r="M10" s="80">
        <f t="shared" si="3"/>
        <v>29357.8</v>
      </c>
      <c r="N10" s="22">
        <v>2</v>
      </c>
      <c r="O10" s="79">
        <f t="shared" si="4"/>
        <v>5871.56</v>
      </c>
      <c r="P10" s="81">
        <f t="shared" si="6"/>
        <v>64587.16</v>
      </c>
    </row>
    <row r="11" s="4" customFormat="1" ht="187" customHeight="1" spans="1:16">
      <c r="A11" s="22">
        <v>7</v>
      </c>
      <c r="B11" s="23" t="s">
        <v>31</v>
      </c>
      <c r="C11" s="23" t="str">
        <f>_xlfn.DISPIMG("ID_51B9F00F99654096BAB946FB0F8FB159",1)</f>
        <v>=DISPIMG("ID_51B9F00F99654096BAB946FB0F8FB159",1)</v>
      </c>
      <c r="D11" s="24" t="s">
        <v>32</v>
      </c>
      <c r="E11" s="25">
        <f t="shared" si="0"/>
        <v>42</v>
      </c>
      <c r="F11" s="23" t="s">
        <v>22</v>
      </c>
      <c r="G11" s="26">
        <v>275.23</v>
      </c>
      <c r="H11" s="26">
        <f t="shared" si="1"/>
        <v>11559.66</v>
      </c>
      <c r="I11" s="78">
        <f t="shared" si="2"/>
        <v>275.23</v>
      </c>
      <c r="J11" s="25">
        <v>22</v>
      </c>
      <c r="K11" s="79">
        <f t="shared" si="5"/>
        <v>6055.06</v>
      </c>
      <c r="L11" s="25">
        <v>16</v>
      </c>
      <c r="M11" s="80">
        <f t="shared" si="3"/>
        <v>4403.68</v>
      </c>
      <c r="N11" s="22">
        <v>4</v>
      </c>
      <c r="O11" s="79">
        <f t="shared" si="4"/>
        <v>1100.92</v>
      </c>
      <c r="P11" s="81">
        <f t="shared" si="6"/>
        <v>11559.66</v>
      </c>
    </row>
    <row r="12" s="4" customFormat="1" ht="187" customHeight="1" spans="1:16">
      <c r="A12" s="22">
        <v>8</v>
      </c>
      <c r="B12" s="23" t="s">
        <v>33</v>
      </c>
      <c r="C12" s="23" t="str">
        <f>_xlfn.DISPIMG("ID_CDE8ABD59D6647ED8A1E762979508DEB",1)</f>
        <v>=DISPIMG("ID_CDE8ABD59D6647ED8A1E762979508DEB",1)</v>
      </c>
      <c r="D12" s="24" t="s">
        <v>34</v>
      </c>
      <c r="E12" s="25">
        <f t="shared" si="0"/>
        <v>42</v>
      </c>
      <c r="F12" s="23" t="s">
        <v>22</v>
      </c>
      <c r="G12" s="26">
        <v>275.23</v>
      </c>
      <c r="H12" s="26">
        <f t="shared" si="1"/>
        <v>11559.66</v>
      </c>
      <c r="I12" s="78">
        <f t="shared" si="2"/>
        <v>275.23</v>
      </c>
      <c r="J12" s="25">
        <v>22</v>
      </c>
      <c r="K12" s="79">
        <f t="shared" si="5"/>
        <v>6055.06</v>
      </c>
      <c r="L12" s="25">
        <v>16</v>
      </c>
      <c r="M12" s="80">
        <f t="shared" si="3"/>
        <v>4403.68</v>
      </c>
      <c r="N12" s="22">
        <v>4</v>
      </c>
      <c r="O12" s="79">
        <f t="shared" si="4"/>
        <v>1100.92</v>
      </c>
      <c r="P12" s="81">
        <f t="shared" si="6"/>
        <v>11559.66</v>
      </c>
    </row>
    <row r="13" s="4" customFormat="1" ht="160" customHeight="1" spans="1:16">
      <c r="A13" s="22">
        <v>9</v>
      </c>
      <c r="B13" s="23" t="s">
        <v>35</v>
      </c>
      <c r="C13" s="23" t="str">
        <f>_xlfn.DISPIMG("ID_4CFDA8430EB84059A48A6AE6F278713E",1)</f>
        <v>=DISPIMG("ID_4CFDA8430EB84059A48A6AE6F278713E",1)</v>
      </c>
      <c r="D13" s="24" t="s">
        <v>36</v>
      </c>
      <c r="E13" s="25">
        <f t="shared" si="0"/>
        <v>60</v>
      </c>
      <c r="F13" s="23" t="s">
        <v>22</v>
      </c>
      <c r="G13" s="26">
        <v>201.83</v>
      </c>
      <c r="H13" s="26">
        <f t="shared" si="1"/>
        <v>12109.8</v>
      </c>
      <c r="I13" s="78">
        <f t="shared" si="2"/>
        <v>201.83</v>
      </c>
      <c r="J13" s="25">
        <v>30</v>
      </c>
      <c r="K13" s="79">
        <f t="shared" si="5"/>
        <v>6054.9</v>
      </c>
      <c r="L13" s="25">
        <v>24</v>
      </c>
      <c r="M13" s="80">
        <f t="shared" si="3"/>
        <v>4843.92</v>
      </c>
      <c r="N13" s="22">
        <v>6</v>
      </c>
      <c r="O13" s="79">
        <f t="shared" si="4"/>
        <v>1210.98</v>
      </c>
      <c r="P13" s="81">
        <f t="shared" si="6"/>
        <v>12109.8</v>
      </c>
    </row>
    <row r="14" s="4" customFormat="1" ht="174" customHeight="1" spans="1:16">
      <c r="A14" s="22">
        <v>10</v>
      </c>
      <c r="B14" s="23" t="s">
        <v>37</v>
      </c>
      <c r="C14" s="23" t="str">
        <f>_xlfn.DISPIMG("ID_2663AE43328D4AA4A5CCF19618D0F3EC",1)</f>
        <v>=DISPIMG("ID_2663AE43328D4AA4A5CCF19618D0F3EC",1)</v>
      </c>
      <c r="D14" s="24" t="s">
        <v>38</v>
      </c>
      <c r="E14" s="25">
        <f t="shared" si="0"/>
        <v>110</v>
      </c>
      <c r="F14" s="23" t="s">
        <v>22</v>
      </c>
      <c r="G14" s="26">
        <v>302.75</v>
      </c>
      <c r="H14" s="26">
        <f t="shared" si="1"/>
        <v>33302.5</v>
      </c>
      <c r="I14" s="78">
        <f t="shared" si="2"/>
        <v>302.75</v>
      </c>
      <c r="J14" s="25">
        <v>55</v>
      </c>
      <c r="K14" s="79">
        <f t="shared" si="5"/>
        <v>16651.25</v>
      </c>
      <c r="L14" s="25">
        <v>44</v>
      </c>
      <c r="M14" s="80">
        <f t="shared" si="3"/>
        <v>13321</v>
      </c>
      <c r="N14" s="22">
        <v>11</v>
      </c>
      <c r="O14" s="79">
        <f t="shared" si="4"/>
        <v>3330.25</v>
      </c>
      <c r="P14" s="81">
        <f t="shared" si="6"/>
        <v>33302.5</v>
      </c>
    </row>
    <row r="15" s="4" customFormat="1" ht="265" customHeight="1" spans="1:16">
      <c r="A15" s="22">
        <v>11</v>
      </c>
      <c r="B15" s="23" t="s">
        <v>39</v>
      </c>
      <c r="C15" s="23" t="str">
        <f>_xlfn.DISPIMG("ID_4C3AB75487084CFBA547ABEB6F16A8E5",1)</f>
        <v>=DISPIMG("ID_4C3AB75487084CFBA547ABEB6F16A8E5",1)</v>
      </c>
      <c r="D15" s="24" t="s">
        <v>40</v>
      </c>
      <c r="E15" s="25">
        <f t="shared" si="0"/>
        <v>32</v>
      </c>
      <c r="F15" s="23" t="s">
        <v>22</v>
      </c>
      <c r="G15" s="26">
        <v>5321.1</v>
      </c>
      <c r="H15" s="26">
        <f t="shared" si="1"/>
        <v>170275.2</v>
      </c>
      <c r="I15" s="78">
        <f t="shared" si="2"/>
        <v>5321.1</v>
      </c>
      <c r="J15" s="25">
        <v>16</v>
      </c>
      <c r="K15" s="79">
        <f t="shared" si="5"/>
        <v>85137.6</v>
      </c>
      <c r="L15" s="25">
        <v>12</v>
      </c>
      <c r="M15" s="80">
        <f t="shared" si="3"/>
        <v>63853.2</v>
      </c>
      <c r="N15" s="22">
        <v>4</v>
      </c>
      <c r="O15" s="79">
        <f t="shared" si="4"/>
        <v>21284.4</v>
      </c>
      <c r="P15" s="81">
        <f t="shared" si="6"/>
        <v>170275.2</v>
      </c>
    </row>
    <row r="16" s="4" customFormat="1" ht="161" customHeight="1" spans="1:16">
      <c r="A16" s="22">
        <v>12</v>
      </c>
      <c r="B16" s="23" t="s">
        <v>41</v>
      </c>
      <c r="C16" s="23" t="str">
        <f>_xlfn.DISPIMG("ID_C0B631260B44473682E3D7F95A8EE47B",1)</f>
        <v>=DISPIMG("ID_C0B631260B44473682E3D7F95A8EE47B",1)</v>
      </c>
      <c r="D16" s="24" t="s">
        <v>42</v>
      </c>
      <c r="E16" s="25">
        <f t="shared" si="0"/>
        <v>22</v>
      </c>
      <c r="F16" s="23" t="s">
        <v>22</v>
      </c>
      <c r="G16" s="26">
        <v>917.43</v>
      </c>
      <c r="H16" s="26">
        <f t="shared" si="1"/>
        <v>20183.46</v>
      </c>
      <c r="I16" s="78">
        <f t="shared" si="2"/>
        <v>917.43</v>
      </c>
      <c r="J16" s="25">
        <v>12</v>
      </c>
      <c r="K16" s="79">
        <f t="shared" si="5"/>
        <v>11009.16</v>
      </c>
      <c r="L16" s="25">
        <v>8</v>
      </c>
      <c r="M16" s="80">
        <f t="shared" si="3"/>
        <v>7339.44</v>
      </c>
      <c r="N16" s="22">
        <v>2</v>
      </c>
      <c r="O16" s="79">
        <f t="shared" si="4"/>
        <v>1834.86</v>
      </c>
      <c r="P16" s="81">
        <f t="shared" si="6"/>
        <v>20183.46</v>
      </c>
    </row>
    <row r="17" s="4" customFormat="1" ht="133" customHeight="1" spans="1:16">
      <c r="A17" s="22">
        <v>13</v>
      </c>
      <c r="B17" s="23" t="s">
        <v>43</v>
      </c>
      <c r="C17" s="23" t="str">
        <f>_xlfn.DISPIMG("ID_18095C4392894DD9B08593F95859DA95",1)</f>
        <v>=DISPIMG("ID_18095C4392894DD9B08593F95859DA95",1)</v>
      </c>
      <c r="D17" s="24" t="s">
        <v>44</v>
      </c>
      <c r="E17" s="25">
        <f t="shared" si="0"/>
        <v>16</v>
      </c>
      <c r="F17" s="23" t="s">
        <v>22</v>
      </c>
      <c r="G17" s="26">
        <v>238.53</v>
      </c>
      <c r="H17" s="26">
        <f t="shared" si="1"/>
        <v>3816.48</v>
      </c>
      <c r="I17" s="78">
        <f t="shared" si="2"/>
        <v>238.53</v>
      </c>
      <c r="J17" s="25">
        <v>8</v>
      </c>
      <c r="K17" s="79">
        <f t="shared" si="5"/>
        <v>1908.24</v>
      </c>
      <c r="L17" s="25">
        <v>6</v>
      </c>
      <c r="M17" s="80">
        <f t="shared" si="3"/>
        <v>1431.18</v>
      </c>
      <c r="N17" s="22">
        <v>2</v>
      </c>
      <c r="O17" s="79">
        <f t="shared" si="4"/>
        <v>477.06</v>
      </c>
      <c r="P17" s="81">
        <f t="shared" si="6"/>
        <v>3816.48</v>
      </c>
    </row>
    <row r="18" s="4" customFormat="1" ht="247" customHeight="1" spans="1:16">
      <c r="A18" s="22">
        <v>14</v>
      </c>
      <c r="B18" s="23" t="s">
        <v>45</v>
      </c>
      <c r="C18" s="23" t="str">
        <f>_xlfn.DISPIMG("ID_648615C2E7584D68BD3BD3B960E9FC0A",1)</f>
        <v>=DISPIMG("ID_648615C2E7584D68BD3BD3B960E9FC0A",1)</v>
      </c>
      <c r="D18" s="24" t="s">
        <v>46</v>
      </c>
      <c r="E18" s="25">
        <f t="shared" si="0"/>
        <v>16</v>
      </c>
      <c r="F18" s="23" t="s">
        <v>22</v>
      </c>
      <c r="G18" s="26">
        <v>3211.01</v>
      </c>
      <c r="H18" s="26">
        <f t="shared" si="1"/>
        <v>51376.16</v>
      </c>
      <c r="I18" s="78">
        <f t="shared" si="2"/>
        <v>3211.01</v>
      </c>
      <c r="J18" s="25">
        <v>8</v>
      </c>
      <c r="K18" s="79">
        <f t="shared" si="5"/>
        <v>25688.08</v>
      </c>
      <c r="L18" s="25">
        <v>6</v>
      </c>
      <c r="M18" s="80">
        <f t="shared" si="3"/>
        <v>19266.06</v>
      </c>
      <c r="N18" s="22">
        <v>2</v>
      </c>
      <c r="O18" s="79">
        <f t="shared" si="4"/>
        <v>6422.02</v>
      </c>
      <c r="P18" s="81">
        <f t="shared" si="6"/>
        <v>51376.16</v>
      </c>
    </row>
    <row r="19" s="4" customFormat="1" ht="147" customHeight="1" spans="1:16">
      <c r="A19" s="22">
        <v>15</v>
      </c>
      <c r="B19" s="23" t="s">
        <v>47</v>
      </c>
      <c r="C19" s="23" t="str">
        <f>_xlfn.DISPIMG("ID_34A71A7BBB1E4B619F1CA5E6ACAC4822",1)</f>
        <v>=DISPIMG("ID_34A71A7BBB1E4B619F1CA5E6ACAC4822",1)</v>
      </c>
      <c r="D19" s="24" t="s">
        <v>48</v>
      </c>
      <c r="E19" s="25">
        <f t="shared" si="0"/>
        <v>110</v>
      </c>
      <c r="F19" s="23" t="s">
        <v>22</v>
      </c>
      <c r="G19" s="26">
        <v>77.98</v>
      </c>
      <c r="H19" s="26">
        <f t="shared" si="1"/>
        <v>8577.8</v>
      </c>
      <c r="I19" s="78">
        <f t="shared" si="2"/>
        <v>77.98</v>
      </c>
      <c r="J19" s="25">
        <v>55</v>
      </c>
      <c r="K19" s="79">
        <f t="shared" si="5"/>
        <v>4288.9</v>
      </c>
      <c r="L19" s="25">
        <v>44</v>
      </c>
      <c r="M19" s="80">
        <f t="shared" si="3"/>
        <v>3431.12</v>
      </c>
      <c r="N19" s="22">
        <v>11</v>
      </c>
      <c r="O19" s="79">
        <f t="shared" si="4"/>
        <v>857.78</v>
      </c>
      <c r="P19" s="81">
        <f t="shared" si="6"/>
        <v>8577.8</v>
      </c>
    </row>
    <row r="20" s="4" customFormat="1" ht="115" customHeight="1" spans="1:16">
      <c r="A20" s="22">
        <v>16</v>
      </c>
      <c r="B20" s="23" t="s">
        <v>49</v>
      </c>
      <c r="C20" s="23" t="str">
        <f>_xlfn.DISPIMG("ID_F5865ACC8E1B4C0186BB655D7E7CF5E9",1)</f>
        <v>=DISPIMG("ID_F5865ACC8E1B4C0186BB655D7E7CF5E9",1)</v>
      </c>
      <c r="D20" s="24" t="s">
        <v>50</v>
      </c>
      <c r="E20" s="25">
        <f t="shared" si="0"/>
        <v>16</v>
      </c>
      <c r="F20" s="23" t="s">
        <v>22</v>
      </c>
      <c r="G20" s="26">
        <v>44.04</v>
      </c>
      <c r="H20" s="26">
        <f t="shared" si="1"/>
        <v>704.64</v>
      </c>
      <c r="I20" s="78">
        <f t="shared" si="2"/>
        <v>44.04</v>
      </c>
      <c r="J20" s="25">
        <v>8</v>
      </c>
      <c r="K20" s="79">
        <f t="shared" si="5"/>
        <v>352.32</v>
      </c>
      <c r="L20" s="25">
        <v>6</v>
      </c>
      <c r="M20" s="80">
        <f t="shared" si="3"/>
        <v>264.24</v>
      </c>
      <c r="N20" s="22">
        <v>2</v>
      </c>
      <c r="O20" s="79">
        <f t="shared" si="4"/>
        <v>88.08</v>
      </c>
      <c r="P20" s="81">
        <f t="shared" si="6"/>
        <v>704.64</v>
      </c>
    </row>
    <row r="21" s="3" customFormat="1" ht="121" customHeight="1" spans="1:16">
      <c r="A21" s="22">
        <v>17</v>
      </c>
      <c r="B21" s="23" t="s">
        <v>51</v>
      </c>
      <c r="C21" s="23" t="str">
        <f>_xlfn.DISPIMG("ID_54DDD014D5E4407B94BE3B35C5C7114D",1)</f>
        <v>=DISPIMG("ID_54DDD014D5E4407B94BE3B35C5C7114D",1)</v>
      </c>
      <c r="D21" s="24" t="s">
        <v>52</v>
      </c>
      <c r="E21" s="25">
        <f t="shared" si="0"/>
        <v>22</v>
      </c>
      <c r="F21" s="23" t="s">
        <v>53</v>
      </c>
      <c r="G21" s="26">
        <v>596.33</v>
      </c>
      <c r="H21" s="26">
        <f t="shared" si="1"/>
        <v>13119.26</v>
      </c>
      <c r="I21" s="78">
        <f t="shared" si="2"/>
        <v>596.33</v>
      </c>
      <c r="J21" s="25">
        <v>12</v>
      </c>
      <c r="K21" s="79">
        <f t="shared" si="5"/>
        <v>7155.96</v>
      </c>
      <c r="L21" s="25">
        <v>8</v>
      </c>
      <c r="M21" s="80">
        <f t="shared" si="3"/>
        <v>4770.64</v>
      </c>
      <c r="N21" s="22">
        <v>2</v>
      </c>
      <c r="O21" s="79">
        <f t="shared" si="4"/>
        <v>1192.66</v>
      </c>
      <c r="P21" s="81">
        <f t="shared" si="6"/>
        <v>13119.26</v>
      </c>
    </row>
    <row r="22" s="4" customFormat="1" ht="130" customHeight="1" spans="1:16">
      <c r="A22" s="22">
        <v>18</v>
      </c>
      <c r="B22" s="23" t="s">
        <v>54</v>
      </c>
      <c r="C22" s="23" t="str">
        <f>_xlfn.DISPIMG("ID_16119AF543BC4F21B75FDCFD27AE0FA4",1)</f>
        <v>=DISPIMG("ID_16119AF543BC4F21B75FDCFD27AE0FA4",1)</v>
      </c>
      <c r="D22" s="24" t="s">
        <v>55</v>
      </c>
      <c r="E22" s="25">
        <f t="shared" si="0"/>
        <v>16</v>
      </c>
      <c r="F22" s="23" t="s">
        <v>22</v>
      </c>
      <c r="G22" s="26">
        <v>293.58</v>
      </c>
      <c r="H22" s="26">
        <f t="shared" si="1"/>
        <v>4697.28</v>
      </c>
      <c r="I22" s="78">
        <f t="shared" si="2"/>
        <v>293.58</v>
      </c>
      <c r="J22" s="25">
        <v>8</v>
      </c>
      <c r="K22" s="79">
        <f t="shared" si="5"/>
        <v>2348.64</v>
      </c>
      <c r="L22" s="25">
        <v>6</v>
      </c>
      <c r="M22" s="80">
        <f t="shared" si="3"/>
        <v>1761.48</v>
      </c>
      <c r="N22" s="22">
        <v>2</v>
      </c>
      <c r="O22" s="79">
        <f t="shared" si="4"/>
        <v>587.16</v>
      </c>
      <c r="P22" s="81">
        <f t="shared" si="6"/>
        <v>4697.28</v>
      </c>
    </row>
    <row r="23" s="3" customFormat="1" ht="118" customHeight="1" spans="1:16">
      <c r="A23" s="22">
        <v>19</v>
      </c>
      <c r="B23" s="23" t="s">
        <v>56</v>
      </c>
      <c r="C23" s="23" t="str">
        <f>_xlfn.DISPIMG("ID_C8E6B1B04C2A46C68DCF9C1BFFDB2D58",1)</f>
        <v>=DISPIMG("ID_C8E6B1B04C2A46C68DCF9C1BFFDB2D58",1)</v>
      </c>
      <c r="D23" s="24" t="s">
        <v>57</v>
      </c>
      <c r="E23" s="25">
        <f t="shared" si="0"/>
        <v>48</v>
      </c>
      <c r="F23" s="23" t="s">
        <v>22</v>
      </c>
      <c r="G23" s="26">
        <v>44.04</v>
      </c>
      <c r="H23" s="26">
        <f t="shared" si="1"/>
        <v>2113.92</v>
      </c>
      <c r="I23" s="78">
        <f t="shared" si="2"/>
        <v>44.04</v>
      </c>
      <c r="J23" s="25">
        <v>24</v>
      </c>
      <c r="K23" s="79">
        <f t="shared" si="5"/>
        <v>1056.96</v>
      </c>
      <c r="L23" s="25">
        <v>18</v>
      </c>
      <c r="M23" s="80">
        <f t="shared" si="3"/>
        <v>792.72</v>
      </c>
      <c r="N23" s="22">
        <v>6</v>
      </c>
      <c r="O23" s="79">
        <f t="shared" si="4"/>
        <v>264.24</v>
      </c>
      <c r="P23" s="81">
        <f t="shared" si="6"/>
        <v>2113.92</v>
      </c>
    </row>
    <row r="24" s="4" customFormat="1" ht="121" customHeight="1" spans="1:16">
      <c r="A24" s="22">
        <v>20</v>
      </c>
      <c r="B24" s="23" t="s">
        <v>58</v>
      </c>
      <c r="C24" s="23" t="str">
        <f>_xlfn.DISPIMG("ID_9CD3BA1AE3384E0E9D60F1E8598469FD",1)</f>
        <v>=DISPIMG("ID_9CD3BA1AE3384E0E9D60F1E8598469FD",1)</v>
      </c>
      <c r="D24" s="24" t="s">
        <v>59</v>
      </c>
      <c r="E24" s="25">
        <f t="shared" si="0"/>
        <v>946</v>
      </c>
      <c r="F24" s="23" t="s">
        <v>22</v>
      </c>
      <c r="G24" s="26">
        <v>36.7</v>
      </c>
      <c r="H24" s="26">
        <f t="shared" si="1"/>
        <v>34718.2</v>
      </c>
      <c r="I24" s="78">
        <f t="shared" si="2"/>
        <v>36.7</v>
      </c>
      <c r="J24" s="25">
        <v>460</v>
      </c>
      <c r="K24" s="79">
        <f t="shared" si="5"/>
        <v>16882</v>
      </c>
      <c r="L24" s="25">
        <v>400</v>
      </c>
      <c r="M24" s="80">
        <f t="shared" si="3"/>
        <v>14680</v>
      </c>
      <c r="N24" s="22">
        <v>86</v>
      </c>
      <c r="O24" s="79">
        <f t="shared" si="4"/>
        <v>3156.2</v>
      </c>
      <c r="P24" s="81">
        <f t="shared" si="6"/>
        <v>34718.2</v>
      </c>
    </row>
    <row r="25" s="3" customFormat="1" ht="102" customHeight="1" spans="1:16">
      <c r="A25" s="22">
        <v>21</v>
      </c>
      <c r="B25" s="23" t="s">
        <v>60</v>
      </c>
      <c r="C25" s="23" t="s">
        <v>61</v>
      </c>
      <c r="D25" s="24" t="s">
        <v>62</v>
      </c>
      <c r="E25" s="25">
        <f t="shared" ref="E25:E35" si="7">J25+L25+N25</f>
        <v>800</v>
      </c>
      <c r="F25" s="23" t="s">
        <v>22</v>
      </c>
      <c r="G25" s="26">
        <v>22.94</v>
      </c>
      <c r="H25" s="26">
        <f t="shared" si="1"/>
        <v>18352</v>
      </c>
      <c r="I25" s="78">
        <f t="shared" si="2"/>
        <v>22.94</v>
      </c>
      <c r="J25" s="25">
        <v>400</v>
      </c>
      <c r="K25" s="79">
        <f t="shared" si="5"/>
        <v>9176</v>
      </c>
      <c r="L25" s="25">
        <v>300</v>
      </c>
      <c r="M25" s="80">
        <f t="shared" si="3"/>
        <v>6882</v>
      </c>
      <c r="N25" s="22">
        <v>100</v>
      </c>
      <c r="O25" s="79">
        <f t="shared" si="4"/>
        <v>2294</v>
      </c>
      <c r="P25" s="81">
        <f t="shared" si="6"/>
        <v>18352</v>
      </c>
    </row>
    <row r="26" s="3" customFormat="1" ht="117" customHeight="1" spans="1:16">
      <c r="A26" s="22">
        <v>22</v>
      </c>
      <c r="B26" s="23" t="s">
        <v>63</v>
      </c>
      <c r="C26" s="23" t="str">
        <f>_xlfn.DISPIMG("ID_1A12C734A252469D819EDC21AC1975B8",1)</f>
        <v>=DISPIMG("ID_1A12C734A252469D819EDC21AC1975B8",1)</v>
      </c>
      <c r="D26" s="24" t="s">
        <v>64</v>
      </c>
      <c r="E26" s="25">
        <f t="shared" si="7"/>
        <v>192</v>
      </c>
      <c r="F26" s="23" t="s">
        <v>22</v>
      </c>
      <c r="G26" s="26">
        <v>22.94</v>
      </c>
      <c r="H26" s="26">
        <f t="shared" si="1"/>
        <v>4404.48</v>
      </c>
      <c r="I26" s="78">
        <f t="shared" si="2"/>
        <v>22.94</v>
      </c>
      <c r="J26" s="25">
        <v>96</v>
      </c>
      <c r="K26" s="79">
        <f t="shared" si="5"/>
        <v>2202.24</v>
      </c>
      <c r="L26" s="25">
        <v>72</v>
      </c>
      <c r="M26" s="80">
        <f t="shared" si="3"/>
        <v>1651.68</v>
      </c>
      <c r="N26" s="22">
        <v>24</v>
      </c>
      <c r="O26" s="79">
        <f t="shared" si="4"/>
        <v>550.56</v>
      </c>
      <c r="P26" s="81">
        <f t="shared" si="6"/>
        <v>4404.48</v>
      </c>
    </row>
    <row r="27" s="4" customFormat="1" ht="125" customHeight="1" spans="1:16">
      <c r="A27" s="22">
        <v>23</v>
      </c>
      <c r="B27" s="23" t="s">
        <v>65</v>
      </c>
      <c r="C27" s="23" t="str">
        <f>_xlfn.DISPIMG("ID_FA0536AA4B93460EBED94AF29765875E",1)</f>
        <v>=DISPIMG("ID_FA0536AA4B93460EBED94AF29765875E",1)</v>
      </c>
      <c r="D27" s="24" t="s">
        <v>66</v>
      </c>
      <c r="E27" s="25">
        <f t="shared" si="7"/>
        <v>394</v>
      </c>
      <c r="F27" s="23" t="s">
        <v>22</v>
      </c>
      <c r="G27" s="26">
        <v>144.95</v>
      </c>
      <c r="H27" s="26">
        <f t="shared" si="1"/>
        <v>57110.3</v>
      </c>
      <c r="I27" s="78">
        <f t="shared" si="2"/>
        <v>144.95</v>
      </c>
      <c r="J27" s="25">
        <v>200</v>
      </c>
      <c r="K27" s="79">
        <f t="shared" si="5"/>
        <v>28990</v>
      </c>
      <c r="L27" s="25">
        <v>150</v>
      </c>
      <c r="M27" s="80">
        <f t="shared" si="3"/>
        <v>21742.5</v>
      </c>
      <c r="N27" s="22">
        <v>44</v>
      </c>
      <c r="O27" s="79">
        <f t="shared" si="4"/>
        <v>6377.8</v>
      </c>
      <c r="P27" s="81">
        <f t="shared" si="6"/>
        <v>57110.3</v>
      </c>
    </row>
    <row r="28" s="4" customFormat="1" ht="178" customHeight="1" spans="1:16">
      <c r="A28" s="22">
        <v>24</v>
      </c>
      <c r="B28" s="23" t="s">
        <v>67</v>
      </c>
      <c r="C28" s="23" t="str">
        <f>_xlfn.DISPIMG("ID_B783395282FC453BBE31724638B80510",1)</f>
        <v>=DISPIMG("ID_B783395282FC453BBE31724638B80510",1)</v>
      </c>
      <c r="D28" s="24" t="s">
        <v>68</v>
      </c>
      <c r="E28" s="25">
        <f t="shared" si="7"/>
        <v>180</v>
      </c>
      <c r="F28" s="23" t="s">
        <v>22</v>
      </c>
      <c r="G28" s="26">
        <v>365.14</v>
      </c>
      <c r="H28" s="26">
        <f t="shared" si="1"/>
        <v>65725.2</v>
      </c>
      <c r="I28" s="78">
        <f t="shared" si="2"/>
        <v>365.14</v>
      </c>
      <c r="J28" s="25">
        <v>100</v>
      </c>
      <c r="K28" s="79">
        <f t="shared" si="5"/>
        <v>36514</v>
      </c>
      <c r="L28" s="25">
        <v>70</v>
      </c>
      <c r="M28" s="80">
        <f t="shared" si="3"/>
        <v>25559.8</v>
      </c>
      <c r="N28" s="22">
        <v>10</v>
      </c>
      <c r="O28" s="79">
        <f t="shared" si="4"/>
        <v>3651.4</v>
      </c>
      <c r="P28" s="81">
        <f t="shared" si="6"/>
        <v>65725.2</v>
      </c>
    </row>
    <row r="29" s="3" customFormat="1" ht="130" customHeight="1" spans="1:16">
      <c r="A29" s="22">
        <v>25</v>
      </c>
      <c r="B29" s="23" t="s">
        <v>69</v>
      </c>
      <c r="C29" s="23" t="str">
        <f>_xlfn.DISPIMG("ID_E8D2448DF7564927B3D56AEB153C75B2",1)</f>
        <v>=DISPIMG("ID_E8D2448DF7564927B3D56AEB153C75B2",1)</v>
      </c>
      <c r="D29" s="24" t="s">
        <v>70</v>
      </c>
      <c r="E29" s="25">
        <f t="shared" si="7"/>
        <v>240</v>
      </c>
      <c r="F29" s="23" t="s">
        <v>22</v>
      </c>
      <c r="G29" s="26">
        <v>20.92</v>
      </c>
      <c r="H29" s="26">
        <f t="shared" si="1"/>
        <v>5020.8</v>
      </c>
      <c r="I29" s="78">
        <f t="shared" si="2"/>
        <v>20.92</v>
      </c>
      <c r="J29" s="25">
        <v>120</v>
      </c>
      <c r="K29" s="79">
        <f t="shared" si="5"/>
        <v>2510.4</v>
      </c>
      <c r="L29" s="25">
        <v>90</v>
      </c>
      <c r="M29" s="80">
        <f t="shared" si="3"/>
        <v>1882.8</v>
      </c>
      <c r="N29" s="22">
        <v>30</v>
      </c>
      <c r="O29" s="79">
        <f t="shared" si="4"/>
        <v>627.6</v>
      </c>
      <c r="P29" s="81">
        <f t="shared" si="6"/>
        <v>5020.8</v>
      </c>
    </row>
    <row r="30" s="3" customFormat="1" ht="55" customHeight="1" spans="1:16">
      <c r="A30" s="27">
        <v>26</v>
      </c>
      <c r="B30" s="28" t="s">
        <v>71</v>
      </c>
      <c r="C30" s="28" t="str">
        <f>_xlfn.DISPIMG("ID_EEF9C519375B40B49273DA6FD9F333F5",1)</f>
        <v>=DISPIMG("ID_EEF9C519375B40B49273DA6FD9F333F5",1)</v>
      </c>
      <c r="D30" s="24" t="s">
        <v>72</v>
      </c>
      <c r="E30" s="25">
        <f t="shared" si="7"/>
        <v>198</v>
      </c>
      <c r="F30" s="23" t="s">
        <v>22</v>
      </c>
      <c r="G30" s="26">
        <v>1467.89</v>
      </c>
      <c r="H30" s="26">
        <f t="shared" si="1"/>
        <v>290642.22</v>
      </c>
      <c r="I30" s="78">
        <f t="shared" si="2"/>
        <v>1467.89</v>
      </c>
      <c r="J30" s="25">
        <v>102</v>
      </c>
      <c r="K30" s="79">
        <f t="shared" si="5"/>
        <v>149724.78</v>
      </c>
      <c r="L30" s="25">
        <v>80</v>
      </c>
      <c r="M30" s="80">
        <f t="shared" si="3"/>
        <v>117431.2</v>
      </c>
      <c r="N30" s="22">
        <v>16</v>
      </c>
      <c r="O30" s="79">
        <f t="shared" si="4"/>
        <v>23486.24</v>
      </c>
      <c r="P30" s="81">
        <f t="shared" si="6"/>
        <v>290642.22</v>
      </c>
    </row>
    <row r="31" s="3" customFormat="1" ht="19" customHeight="1" spans="1:16">
      <c r="A31" s="29" t="s">
        <v>73</v>
      </c>
      <c r="B31" s="30"/>
      <c r="C31" s="30"/>
      <c r="D31" s="31"/>
      <c r="E31" s="25">
        <f t="shared" si="7"/>
        <v>0</v>
      </c>
      <c r="F31" s="32"/>
      <c r="G31" s="26"/>
      <c r="H31" s="33">
        <f>SUM(H5:H30)</f>
        <v>2751120.09</v>
      </c>
      <c r="I31" s="78">
        <f t="shared" si="2"/>
        <v>0</v>
      </c>
      <c r="J31" s="25"/>
      <c r="K31" s="82">
        <f>SUM(K5:K30)</f>
        <v>1383758.19</v>
      </c>
      <c r="L31" s="25"/>
      <c r="M31" s="83">
        <f>SUM(M5:M30)</f>
        <v>1080851.68</v>
      </c>
      <c r="N31" s="22"/>
      <c r="O31" s="82">
        <f>SUM(O5:O30)</f>
        <v>286510.22</v>
      </c>
      <c r="P31" s="82">
        <f>SUM(P5:P30)</f>
        <v>2751120.09</v>
      </c>
    </row>
    <row r="32" s="5" customFormat="1" ht="29" customHeight="1" spans="1:16">
      <c r="A32" s="34" t="s">
        <v>74</v>
      </c>
      <c r="B32" s="35"/>
      <c r="C32" s="35"/>
      <c r="D32" s="35"/>
      <c r="E32" s="35"/>
      <c r="F32" s="35"/>
      <c r="G32" s="35"/>
      <c r="H32" s="35"/>
      <c r="I32" s="84"/>
      <c r="J32" s="25"/>
      <c r="K32" s="85"/>
      <c r="L32" s="25"/>
      <c r="M32" s="86"/>
      <c r="N32" s="22"/>
      <c r="O32" s="85"/>
      <c r="P32" s="87"/>
    </row>
    <row r="33" s="3" customFormat="1" ht="29" customHeight="1" spans="1:16">
      <c r="A33" s="22">
        <v>1</v>
      </c>
      <c r="B33" s="23" t="s">
        <v>75</v>
      </c>
      <c r="C33" s="36"/>
      <c r="D33" s="37" t="s">
        <v>76</v>
      </c>
      <c r="E33" s="25">
        <v>352</v>
      </c>
      <c r="F33" s="25" t="s">
        <v>77</v>
      </c>
      <c r="G33" s="26">
        <v>550.46</v>
      </c>
      <c r="H33" s="26">
        <f t="shared" si="1"/>
        <v>193761.92</v>
      </c>
      <c r="I33" s="78">
        <f t="shared" ref="I33:I41" si="8">ROUND(G33*(1-$J$43),2)</f>
        <v>550.46</v>
      </c>
      <c r="J33" s="25">
        <v>176</v>
      </c>
      <c r="K33" s="79">
        <f t="shared" ref="K33:K38" si="9">ROUND($I33*J33,2)</f>
        <v>96880.96</v>
      </c>
      <c r="L33" s="25">
        <v>132</v>
      </c>
      <c r="M33" s="80">
        <f t="shared" ref="M33:M38" si="10">ROUND($I33*L33,2)</f>
        <v>72660.72</v>
      </c>
      <c r="N33" s="22">
        <v>44</v>
      </c>
      <c r="O33" s="79">
        <f t="shared" ref="O33:O38" si="11">ROUND($I33*N33,2)</f>
        <v>24220.24</v>
      </c>
      <c r="P33" s="81">
        <f t="shared" ref="P33:P42" si="12">K33+M33+O33</f>
        <v>193761.92</v>
      </c>
    </row>
    <row r="34" s="3" customFormat="1" ht="29" customHeight="1" spans="1:16">
      <c r="A34" s="22">
        <v>2</v>
      </c>
      <c r="B34" s="23" t="s">
        <v>78</v>
      </c>
      <c r="C34" s="36"/>
      <c r="D34" s="37"/>
      <c r="E34" s="25">
        <f t="shared" ref="E33:E38" si="13">J34+L34+N34</f>
        <v>528</v>
      </c>
      <c r="F34" s="25" t="s">
        <v>79</v>
      </c>
      <c r="G34" s="26">
        <v>137.61</v>
      </c>
      <c r="H34" s="26">
        <f t="shared" si="1"/>
        <v>72658.08</v>
      </c>
      <c r="I34" s="78">
        <f t="shared" si="8"/>
        <v>137.61</v>
      </c>
      <c r="J34" s="25">
        <v>264</v>
      </c>
      <c r="K34" s="79">
        <f t="shared" si="9"/>
        <v>36329.04</v>
      </c>
      <c r="L34" s="25">
        <v>198</v>
      </c>
      <c r="M34" s="80">
        <f t="shared" si="10"/>
        <v>27246.78</v>
      </c>
      <c r="N34" s="22">
        <v>66</v>
      </c>
      <c r="O34" s="79">
        <f t="shared" si="11"/>
        <v>9082.26</v>
      </c>
      <c r="P34" s="81">
        <f t="shared" si="12"/>
        <v>72658.08</v>
      </c>
    </row>
    <row r="35" s="3" customFormat="1" ht="29" customHeight="1" spans="1:16">
      <c r="A35" s="22">
        <v>3</v>
      </c>
      <c r="B35" s="23" t="s">
        <v>80</v>
      </c>
      <c r="C35" s="36"/>
      <c r="D35" s="37"/>
      <c r="E35" s="25">
        <f t="shared" si="13"/>
        <v>4000</v>
      </c>
      <c r="F35" s="25" t="s">
        <v>81</v>
      </c>
      <c r="G35" s="26">
        <v>12.84</v>
      </c>
      <c r="H35" s="26">
        <f t="shared" si="1"/>
        <v>51360</v>
      </c>
      <c r="I35" s="78">
        <f t="shared" si="8"/>
        <v>12.84</v>
      </c>
      <c r="J35" s="25">
        <v>2000</v>
      </c>
      <c r="K35" s="79">
        <f t="shared" si="9"/>
        <v>25680</v>
      </c>
      <c r="L35" s="25">
        <v>1500</v>
      </c>
      <c r="M35" s="80">
        <f t="shared" si="10"/>
        <v>19260</v>
      </c>
      <c r="N35" s="22">
        <v>500</v>
      </c>
      <c r="O35" s="79">
        <f t="shared" si="11"/>
        <v>6420</v>
      </c>
      <c r="P35" s="81">
        <f t="shared" si="12"/>
        <v>51360</v>
      </c>
    </row>
    <row r="36" s="3" customFormat="1" ht="29" customHeight="1" spans="1:16">
      <c r="A36" s="22">
        <v>4</v>
      </c>
      <c r="B36" s="23" t="s">
        <v>82</v>
      </c>
      <c r="C36" s="36"/>
      <c r="D36" s="37"/>
      <c r="E36" s="25">
        <f t="shared" si="13"/>
        <v>4000</v>
      </c>
      <c r="F36" s="25" t="s">
        <v>81</v>
      </c>
      <c r="G36" s="26">
        <v>12.84</v>
      </c>
      <c r="H36" s="26">
        <f t="shared" si="1"/>
        <v>51360</v>
      </c>
      <c r="I36" s="78">
        <f t="shared" si="8"/>
        <v>12.84</v>
      </c>
      <c r="J36" s="25">
        <v>2000</v>
      </c>
      <c r="K36" s="79">
        <f t="shared" si="9"/>
        <v>25680</v>
      </c>
      <c r="L36" s="25">
        <v>1500</v>
      </c>
      <c r="M36" s="80">
        <f t="shared" si="10"/>
        <v>19260</v>
      </c>
      <c r="N36" s="22">
        <v>500</v>
      </c>
      <c r="O36" s="79">
        <f t="shared" si="11"/>
        <v>6420</v>
      </c>
      <c r="P36" s="81">
        <f t="shared" si="12"/>
        <v>51360</v>
      </c>
    </row>
    <row r="37" s="3" customFormat="1" ht="29" customHeight="1" spans="1:16">
      <c r="A37" s="22">
        <v>5</v>
      </c>
      <c r="B37" s="23" t="s">
        <v>83</v>
      </c>
      <c r="C37" s="36"/>
      <c r="D37" s="37" t="s">
        <v>84</v>
      </c>
      <c r="E37" s="25">
        <f t="shared" si="13"/>
        <v>4000</v>
      </c>
      <c r="F37" s="25" t="s">
        <v>81</v>
      </c>
      <c r="G37" s="26">
        <v>7.34</v>
      </c>
      <c r="H37" s="26">
        <f t="shared" si="1"/>
        <v>29360</v>
      </c>
      <c r="I37" s="78">
        <f t="shared" si="8"/>
        <v>7.34</v>
      </c>
      <c r="J37" s="25">
        <v>2000</v>
      </c>
      <c r="K37" s="79">
        <f t="shared" si="9"/>
        <v>14680</v>
      </c>
      <c r="L37" s="25">
        <v>1500</v>
      </c>
      <c r="M37" s="80">
        <f t="shared" si="10"/>
        <v>11010</v>
      </c>
      <c r="N37" s="22">
        <v>500</v>
      </c>
      <c r="O37" s="79">
        <f t="shared" si="11"/>
        <v>3670</v>
      </c>
      <c r="P37" s="81">
        <f t="shared" si="12"/>
        <v>29360</v>
      </c>
    </row>
    <row r="38" s="3" customFormat="1" ht="29" customHeight="1" spans="1:16">
      <c r="A38" s="22">
        <v>6</v>
      </c>
      <c r="B38" s="23" t="s">
        <v>85</v>
      </c>
      <c r="C38" s="36"/>
      <c r="D38" s="38" t="s">
        <v>86</v>
      </c>
      <c r="E38" s="25">
        <f t="shared" si="13"/>
        <v>4000</v>
      </c>
      <c r="F38" s="25" t="s">
        <v>81</v>
      </c>
      <c r="G38" s="26">
        <v>1.83</v>
      </c>
      <c r="H38" s="26">
        <f t="shared" si="1"/>
        <v>7320</v>
      </c>
      <c r="I38" s="78">
        <f t="shared" si="8"/>
        <v>1.83</v>
      </c>
      <c r="J38" s="25">
        <v>2000</v>
      </c>
      <c r="K38" s="79">
        <f t="shared" si="9"/>
        <v>3660</v>
      </c>
      <c r="L38" s="25">
        <v>1500</v>
      </c>
      <c r="M38" s="80">
        <f t="shared" si="10"/>
        <v>2745</v>
      </c>
      <c r="N38" s="22">
        <v>500</v>
      </c>
      <c r="O38" s="79">
        <f t="shared" si="11"/>
        <v>915</v>
      </c>
      <c r="P38" s="81">
        <f t="shared" si="12"/>
        <v>7320</v>
      </c>
    </row>
    <row r="39" s="3" customFormat="1" ht="29" customHeight="1" spans="1:16">
      <c r="A39" s="39" t="s">
        <v>73</v>
      </c>
      <c r="B39" s="40"/>
      <c r="C39" s="36"/>
      <c r="D39" s="41"/>
      <c r="E39" s="25"/>
      <c r="F39" s="42"/>
      <c r="G39" s="26"/>
      <c r="H39" s="33">
        <f>SUM(H33:H38)</f>
        <v>405820</v>
      </c>
      <c r="I39" s="78">
        <f t="shared" si="8"/>
        <v>0</v>
      </c>
      <c r="J39" s="88"/>
      <c r="K39" s="82">
        <f>SUM(K33:K38)</f>
        <v>202910</v>
      </c>
      <c r="L39" s="89"/>
      <c r="M39" s="83">
        <f>SUM(M33:M38)</f>
        <v>152182.5</v>
      </c>
      <c r="N39" s="89"/>
      <c r="O39" s="82">
        <f>SUM(O33:O38)</f>
        <v>50727.5</v>
      </c>
      <c r="P39" s="82">
        <f t="shared" si="12"/>
        <v>405820</v>
      </c>
    </row>
    <row r="40" s="3" customFormat="1" ht="29" customHeight="1" spans="1:16">
      <c r="A40" s="34" t="s">
        <v>87</v>
      </c>
      <c r="B40" s="35"/>
      <c r="C40" s="40"/>
      <c r="D40" s="43"/>
      <c r="E40" s="25"/>
      <c r="F40" s="42"/>
      <c r="G40" s="26"/>
      <c r="H40" s="33">
        <f>H31+H39</f>
        <v>3156940.09</v>
      </c>
      <c r="I40" s="78"/>
      <c r="J40" s="88"/>
      <c r="K40" s="33">
        <f>K31+K39</f>
        <v>1586668.19</v>
      </c>
      <c r="L40" s="89"/>
      <c r="M40" s="83">
        <f>M31+M39</f>
        <v>1233034.18</v>
      </c>
      <c r="N40" s="89"/>
      <c r="O40" s="82">
        <f>O31+O39</f>
        <v>337237.72</v>
      </c>
      <c r="P40" s="82">
        <f t="shared" si="12"/>
        <v>3156940.09</v>
      </c>
    </row>
    <row r="41" s="3" customFormat="1" ht="29" customHeight="1" spans="1:16">
      <c r="A41" s="44" t="s">
        <v>88</v>
      </c>
      <c r="B41" s="45"/>
      <c r="C41" s="46"/>
      <c r="D41" s="47"/>
      <c r="E41" s="25">
        <v>1</v>
      </c>
      <c r="F41" s="25" t="s">
        <v>89</v>
      </c>
      <c r="G41" s="26"/>
      <c r="H41" s="26">
        <f>ROUND(H40*1.5%,2)</f>
        <v>47354.1</v>
      </c>
      <c r="I41" s="78">
        <f>ROUND(G41*(1-$J$43),2)</f>
        <v>0</v>
      </c>
      <c r="J41" s="90">
        <v>1</v>
      </c>
      <c r="K41" s="26">
        <f>ROUND(K40*1.5%,2)</f>
        <v>23800.02</v>
      </c>
      <c r="L41" s="90">
        <v>1</v>
      </c>
      <c r="M41" s="91">
        <f>ROUND(M40*1.5%,2)</f>
        <v>18495.51</v>
      </c>
      <c r="N41" s="90">
        <v>1</v>
      </c>
      <c r="O41" s="81">
        <f>ROUND(O40*1.5%,2)</f>
        <v>5058.57</v>
      </c>
      <c r="P41" s="79">
        <f t="shared" si="12"/>
        <v>47354.1</v>
      </c>
    </row>
    <row r="42" s="3" customFormat="1" ht="29" customHeight="1" spans="1:16">
      <c r="A42" s="48" t="s">
        <v>90</v>
      </c>
      <c r="B42" s="49"/>
      <c r="C42" s="49"/>
      <c r="D42" s="50"/>
      <c r="E42" s="51"/>
      <c r="F42" s="52"/>
      <c r="G42" s="53"/>
      <c r="H42" s="54">
        <f>H31+H39+H41</f>
        <v>3204294.19</v>
      </c>
      <c r="I42" s="78">
        <f>ROUND(G42*(1-$J$43),2)</f>
        <v>0</v>
      </c>
      <c r="J42" s="92"/>
      <c r="K42" s="93">
        <f>K31+K39+K41</f>
        <v>1610468.21</v>
      </c>
      <c r="L42" s="94"/>
      <c r="M42" s="95">
        <f>M31+M39+M41</f>
        <v>1251529.69</v>
      </c>
      <c r="N42" s="96"/>
      <c r="O42" s="97">
        <f>O31+O39+O41</f>
        <v>342296.29</v>
      </c>
      <c r="P42" s="93">
        <f t="shared" si="12"/>
        <v>3204294.19</v>
      </c>
    </row>
    <row r="43" s="3" customFormat="1" ht="29" customHeight="1" spans="1:16">
      <c r="A43" s="55" t="s">
        <v>91</v>
      </c>
      <c r="B43" s="56"/>
      <c r="C43" s="56"/>
      <c r="D43" s="56"/>
      <c r="E43" s="57" t="s">
        <v>92</v>
      </c>
      <c r="F43" s="57"/>
      <c r="G43" s="57"/>
      <c r="H43" s="57"/>
      <c r="I43" s="57"/>
      <c r="J43" s="98">
        <v>0</v>
      </c>
      <c r="K43" s="98"/>
      <c r="L43" s="98"/>
      <c r="M43" s="98"/>
      <c r="N43" s="98"/>
      <c r="O43" s="98"/>
      <c r="P43" s="99"/>
    </row>
    <row r="44" s="3" customFormat="1" ht="29" customHeight="1" spans="1:16">
      <c r="A44" s="58"/>
      <c r="B44" s="59"/>
      <c r="C44" s="59"/>
      <c r="D44" s="59"/>
      <c r="E44" s="60" t="s">
        <v>93</v>
      </c>
      <c r="F44" s="60"/>
      <c r="G44" s="60"/>
      <c r="H44" s="60"/>
      <c r="I44" s="60"/>
      <c r="J44" s="100">
        <v>0</v>
      </c>
      <c r="K44" s="100"/>
      <c r="L44" s="100"/>
      <c r="M44" s="100"/>
      <c r="N44" s="100"/>
      <c r="O44" s="100"/>
      <c r="P44" s="101"/>
    </row>
    <row r="45" customHeight="1" spans="10:16">
      <c r="J45" s="102" t="s">
        <v>94</v>
      </c>
      <c r="K45" s="102"/>
      <c r="L45" s="102"/>
      <c r="M45" s="102"/>
      <c r="N45" s="102"/>
      <c r="O45" s="102"/>
      <c r="P45" s="102"/>
    </row>
    <row r="46" customHeight="1" spans="10:16">
      <c r="J46" s="102" t="s">
        <v>95</v>
      </c>
      <c r="K46" s="102"/>
      <c r="L46" s="102"/>
      <c r="M46" s="102"/>
      <c r="N46" s="102"/>
      <c r="O46" s="102"/>
      <c r="P46" s="102"/>
    </row>
    <row r="47" customHeight="1" spans="10:16">
      <c r="J47" s="102" t="s">
        <v>96</v>
      </c>
      <c r="K47" s="102"/>
      <c r="L47" s="102"/>
      <c r="M47" s="102"/>
      <c r="N47" s="102"/>
      <c r="O47" s="102"/>
      <c r="P47" s="102"/>
    </row>
    <row r="48" customHeight="1" spans="10:10">
      <c r="J48" s="103" t="s">
        <v>97</v>
      </c>
    </row>
    <row r="49" customHeight="1" spans="14:21">
      <c r="N49" s="104"/>
      <c r="O49" s="104"/>
      <c r="P49" s="104"/>
      <c r="Q49" s="104"/>
      <c r="R49" s="104"/>
      <c r="S49" s="104"/>
      <c r="T49" s="104"/>
      <c r="U49" s="104"/>
    </row>
  </sheetData>
  <sheetProtection algorithmName="SHA-512" hashValue="ARzoUERbn5TsLY9g+zhcr0BgCwfw4xjn+dyIx8+OhAlPhe1my9nvz/OnpV0LxYtMkwEjZlGZM1CCeedIEHG1QQ==" saltValue="iyMLAor7lOtINjg5ySb5fA==" spinCount="100000" sheet="1" objects="1"/>
  <protectedRanges>
    <protectedRange sqref="J43:P47" name="区域1"/>
  </protectedRanges>
  <autoFilter xmlns:etc="http://www.wps.cn/officeDocument/2017/etCustomData" ref="A3:U48" etc:filterBottomFollowUsedRange="0">
    <extLst/>
  </autoFilter>
  <mergeCells count="30">
    <mergeCell ref="A1:P1"/>
    <mergeCell ref="J2:K2"/>
    <mergeCell ref="L2:M2"/>
    <mergeCell ref="N2:O2"/>
    <mergeCell ref="A4:I4"/>
    <mergeCell ref="A31:C31"/>
    <mergeCell ref="A32:I32"/>
    <mergeCell ref="A39:C39"/>
    <mergeCell ref="A40:D40"/>
    <mergeCell ref="A41:D41"/>
    <mergeCell ref="A42:D42"/>
    <mergeCell ref="E43:I43"/>
    <mergeCell ref="J43:P43"/>
    <mergeCell ref="E44:I44"/>
    <mergeCell ref="J44:P44"/>
    <mergeCell ref="J45:P45"/>
    <mergeCell ref="J46:P46"/>
    <mergeCell ref="J47:P47"/>
    <mergeCell ref="N49:U49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P2:P3"/>
    <mergeCell ref="A43:D44"/>
  </mergeCells>
  <pageMargins left="0.393055555555556" right="0.393055555555556" top="0.393055555555556" bottom="0.393055555555556" header="0.5" footer="0.5"/>
  <pageSetup paperSize="9" scale="82" orientation="landscape" horizontalDpi="600"/>
  <headerFooter/>
  <ignoredErrors>
    <ignoredError sqref="H31" formula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Phyllis</dc:creator>
  <cp:lastModifiedBy>♡荼蘼ღ</cp:lastModifiedBy>
  <dcterms:created xsi:type="dcterms:W3CDTF">2024-10-21T03:03:00Z</dcterms:created>
  <dcterms:modified xsi:type="dcterms:W3CDTF">2024-12-06T08:53:18Z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F272D16266EA48738612F7646AB3BECE_13</vt:lpwstr>
  </property>
  <property fmtid="{D5CDD505-2E9C-101B-9397-08002B2CF9AE}" pid="3" name="KSOProductBuildVer">
    <vt:lpwstr>2052-12.1.0.19302</vt:lpwstr>
  </property>
</Properties>
</file>