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media/image273.webp" ContentType="image/webp"/>
  <Override PartName="/xl/media/image308.webp" ContentType="image/webp"/>
  <Override PartName="/xl/media/image404.webp" ContentType="image/webp"/>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Sheet1" sheetId="1" r:id="rId1"/>
  </sheets>
  <definedNames>
    <definedName name="_xlnm._FilterDatabase" localSheetId="0" hidden="1">Sheet1!$A$1:$H$723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7BC58E73422244F6B5672C4EDACFCCC9"/>
        <xdr:cNvPicPr>
          <a:picLocks noChangeAspect="1"/>
        </xdr:cNvPicPr>
      </xdr:nvPicPr>
      <xdr:blipFill>
        <a:blip r:embed="rId1"/>
        <a:stretch>
          <a:fillRect/>
        </a:stretch>
      </xdr:blipFill>
      <xdr:spPr>
        <a:xfrm>
          <a:off x="12415520" y="3022600"/>
          <a:ext cx="1985010" cy="1998345"/>
        </a:xfrm>
        <a:prstGeom prst="rect">
          <a:avLst/>
        </a:prstGeom>
        <a:noFill/>
        <a:ln w="9525">
          <a:noFill/>
        </a:ln>
      </xdr:spPr>
    </xdr:pic>
  </etc:cellImage>
  <etc:cellImage>
    <xdr:pic>
      <xdr:nvPicPr>
        <xdr:cNvPr id="6" name="ID_9007F15C922F47FFAD4515D58607EB6D" descr="白鲢"/>
        <xdr:cNvPicPr>
          <a:picLocks noChangeAspect="1"/>
        </xdr:cNvPicPr>
      </xdr:nvPicPr>
      <xdr:blipFill>
        <a:blip r:embed="rId2"/>
        <a:srcRect r="1474"/>
        <a:stretch>
          <a:fillRect/>
        </a:stretch>
      </xdr:blipFill>
      <xdr:spPr>
        <a:xfrm>
          <a:off x="12371705" y="199466200"/>
          <a:ext cx="2072640" cy="2049145"/>
        </a:xfrm>
        <a:prstGeom prst="rect">
          <a:avLst/>
        </a:prstGeom>
        <a:noFill/>
        <a:ln w="9525">
          <a:noFill/>
        </a:ln>
      </xdr:spPr>
    </xdr:pic>
  </etc:cellImage>
  <etc:cellImage>
    <xdr:pic>
      <xdr:nvPicPr>
        <xdr:cNvPr id="7" name="ID_B89928358DFD480D9634BECACE7EC209"/>
        <xdr:cNvPicPr>
          <a:picLocks noChangeAspect="1"/>
        </xdr:cNvPicPr>
      </xdr:nvPicPr>
      <xdr:blipFill>
        <a:blip r:embed="rId3"/>
        <a:stretch>
          <a:fillRect/>
        </a:stretch>
      </xdr:blipFill>
      <xdr:spPr>
        <a:xfrm>
          <a:off x="12811760" y="300905545"/>
          <a:ext cx="1193165" cy="2124710"/>
        </a:xfrm>
        <a:prstGeom prst="rect">
          <a:avLst/>
        </a:prstGeom>
        <a:noFill/>
        <a:ln w="9525">
          <a:noFill/>
        </a:ln>
      </xdr:spPr>
    </xdr:pic>
  </etc:cellImage>
  <etc:cellImage>
    <xdr:pic>
      <xdr:nvPicPr>
        <xdr:cNvPr id="8" name="ID_3AF2F3C986934DB1A0629700FADDEA66" descr="d00e146f482146afac62f6fa852795f0.jpg (1920×1080)"/>
        <xdr:cNvPicPr>
          <a:picLocks noChangeAspect="1"/>
        </xdr:cNvPicPr>
      </xdr:nvPicPr>
      <xdr:blipFill>
        <a:blip r:embed="rId4"/>
        <a:srcRect r="31421"/>
        <a:stretch>
          <a:fillRect/>
        </a:stretch>
      </xdr:blipFill>
      <xdr:spPr>
        <a:xfrm>
          <a:off x="12388850" y="825559055"/>
          <a:ext cx="2038985" cy="2091690"/>
        </a:xfrm>
        <a:prstGeom prst="rect">
          <a:avLst/>
        </a:prstGeom>
        <a:noFill/>
        <a:ln w="9525">
          <a:noFill/>
        </a:ln>
      </xdr:spPr>
    </xdr:pic>
  </etc:cellImage>
  <etc:cellImage>
    <xdr:pic>
      <xdr:nvPicPr>
        <xdr:cNvPr id="9" name="ID_28F38B43C790496ABD4359BD4CDD1FD3" descr="e1b418ae48f73b17f063b9116858556"/>
        <xdr:cNvPicPr>
          <a:picLocks noChangeAspect="1"/>
        </xdr:cNvPicPr>
      </xdr:nvPicPr>
      <xdr:blipFill>
        <a:blip r:embed="rId5"/>
        <a:stretch>
          <a:fillRect/>
        </a:stretch>
      </xdr:blipFill>
      <xdr:spPr>
        <a:xfrm>
          <a:off x="12613640" y="251248545"/>
          <a:ext cx="1589405" cy="2124710"/>
        </a:xfrm>
        <a:prstGeom prst="rect">
          <a:avLst/>
        </a:prstGeom>
        <a:noFill/>
        <a:ln w="9525">
          <a:noFill/>
        </a:ln>
      </xdr:spPr>
    </xdr:pic>
  </etc:cellImage>
  <etc:cellImage>
    <xdr:pic>
      <xdr:nvPicPr>
        <xdr:cNvPr id="10" name="ID_497F7859354E413C919E7411004135D8" descr="0462d505dad9694a9a7e1b22808b023"/>
        <xdr:cNvPicPr>
          <a:picLocks noChangeAspect="1"/>
        </xdr:cNvPicPr>
      </xdr:nvPicPr>
      <xdr:blipFill>
        <a:blip r:embed="rId6"/>
        <a:stretch>
          <a:fillRect/>
        </a:stretch>
      </xdr:blipFill>
      <xdr:spPr>
        <a:xfrm>
          <a:off x="12613640" y="354880545"/>
          <a:ext cx="1589405" cy="2124710"/>
        </a:xfrm>
        <a:prstGeom prst="rect">
          <a:avLst/>
        </a:prstGeom>
        <a:noFill/>
        <a:ln w="9525">
          <a:noFill/>
        </a:ln>
      </xdr:spPr>
    </xdr:pic>
  </etc:cellImage>
  <etc:cellImage>
    <xdr:pic>
      <xdr:nvPicPr>
        <xdr:cNvPr id="11" name="ID_E251DB7FD19B4DB582FEDFA1B4B9E8D4"/>
        <xdr:cNvPicPr>
          <a:picLocks noChangeAspect="1"/>
        </xdr:cNvPicPr>
      </xdr:nvPicPr>
      <xdr:blipFill>
        <a:blip r:embed="rId7"/>
        <a:srcRect t="21883" b="23177"/>
        <a:stretch>
          <a:fillRect/>
        </a:stretch>
      </xdr:blipFill>
      <xdr:spPr>
        <a:xfrm>
          <a:off x="12371705" y="493224820"/>
          <a:ext cx="2072640" cy="1779905"/>
        </a:xfrm>
        <a:prstGeom prst="rect">
          <a:avLst/>
        </a:prstGeom>
        <a:noFill/>
        <a:ln w="9525">
          <a:noFill/>
        </a:ln>
      </xdr:spPr>
    </xdr:pic>
  </etc:cellImage>
  <etc:cellImage>
    <xdr:pic>
      <xdr:nvPicPr>
        <xdr:cNvPr id="12" name="ID_38F54C15890345F7BB19D7159B610C78" descr="2a238497ff6a4741b27fea59a0d3d243.jpg (1920×1080)"/>
        <xdr:cNvPicPr>
          <a:picLocks noChangeAspect="1"/>
        </xdr:cNvPicPr>
      </xdr:nvPicPr>
      <xdr:blipFill>
        <a:blip r:embed="rId8"/>
        <a:srcRect l="23270" r="11688"/>
        <a:stretch>
          <a:fillRect/>
        </a:stretch>
      </xdr:blipFill>
      <xdr:spPr>
        <a:xfrm>
          <a:off x="12374245" y="644228455"/>
          <a:ext cx="2066290" cy="2040890"/>
        </a:xfrm>
        <a:prstGeom prst="rect">
          <a:avLst/>
        </a:prstGeom>
        <a:noFill/>
        <a:ln w="9525">
          <a:noFill/>
        </a:ln>
      </xdr:spPr>
    </xdr:pic>
  </etc:cellImage>
  <etc:cellImage>
    <xdr:pic>
      <xdr:nvPicPr>
        <xdr:cNvPr id="13" name="ID_A7702F7F19B64DD89489F9F11D39D324" descr="炒牛肉（牛瘦肉）"/>
        <xdr:cNvPicPr>
          <a:picLocks noChangeAspect="1"/>
        </xdr:cNvPicPr>
      </xdr:nvPicPr>
      <xdr:blipFill>
        <a:blip r:embed="rId9"/>
        <a:stretch>
          <a:fillRect/>
        </a:stretch>
      </xdr:blipFill>
      <xdr:spPr>
        <a:xfrm>
          <a:off x="12386310" y="132537200"/>
          <a:ext cx="2043430" cy="2049145"/>
        </a:xfrm>
        <a:prstGeom prst="rect">
          <a:avLst/>
        </a:prstGeom>
        <a:noFill/>
        <a:ln w="9525">
          <a:noFill/>
        </a:ln>
      </xdr:spPr>
    </xdr:pic>
  </etc:cellImage>
  <etc:cellImage>
    <xdr:pic>
      <xdr:nvPicPr>
        <xdr:cNvPr id="14" name="ID_666DC90CC69543CB9BB77865CD3A498C"/>
        <xdr:cNvPicPr>
          <a:picLocks noChangeAspect="1"/>
        </xdr:cNvPicPr>
      </xdr:nvPicPr>
      <xdr:blipFill>
        <a:blip r:embed="rId10"/>
        <a:srcRect b="14360"/>
        <a:stretch>
          <a:fillRect/>
        </a:stretch>
      </xdr:blipFill>
      <xdr:spPr>
        <a:xfrm>
          <a:off x="12409805" y="443525910"/>
          <a:ext cx="1997075" cy="1863725"/>
        </a:xfrm>
        <a:prstGeom prst="rect">
          <a:avLst/>
        </a:prstGeom>
        <a:noFill/>
        <a:ln w="9525">
          <a:noFill/>
        </a:ln>
      </xdr:spPr>
    </xdr:pic>
  </etc:cellImage>
  <etc:cellImage>
    <xdr:pic>
      <xdr:nvPicPr>
        <xdr:cNvPr id="15" name="ID_5756A9AF753D406DBE93A211C135F725" descr="8A62849BDDFF03ED13B01AF932CA1367"/>
        <xdr:cNvPicPr>
          <a:picLocks noChangeAspect="1"/>
        </xdr:cNvPicPr>
      </xdr:nvPicPr>
      <xdr:blipFill>
        <a:blip r:embed="rId11"/>
        <a:srcRect t="25815" b="32018"/>
        <a:stretch>
          <a:fillRect/>
        </a:stretch>
      </xdr:blipFill>
      <xdr:spPr>
        <a:xfrm>
          <a:off x="12411710" y="542806255"/>
          <a:ext cx="1991360" cy="1931035"/>
        </a:xfrm>
        <a:prstGeom prst="rect">
          <a:avLst/>
        </a:prstGeom>
        <a:noFill/>
        <a:ln w="9525">
          <a:noFill/>
        </a:ln>
      </xdr:spPr>
    </xdr:pic>
  </etc:cellImage>
  <etc:cellImage>
    <xdr:pic>
      <xdr:nvPicPr>
        <xdr:cNvPr id="16" name="ID_AEA7128210C04AEA8BF83474C4BBA770" descr="tb_image_share_1758868799702.jpg"/>
        <xdr:cNvPicPr>
          <a:picLocks noChangeAspect="1"/>
        </xdr:cNvPicPr>
      </xdr:nvPicPr>
      <xdr:blipFill>
        <a:blip r:embed="rId12"/>
        <a:srcRect t="22075" b="32678"/>
        <a:stretch>
          <a:fillRect/>
        </a:stretch>
      </xdr:blipFill>
      <xdr:spPr>
        <a:xfrm>
          <a:off x="12423775" y="590405220"/>
          <a:ext cx="1966595" cy="1737360"/>
        </a:xfrm>
        <a:prstGeom prst="rect">
          <a:avLst/>
        </a:prstGeom>
        <a:noFill/>
        <a:ln w="9525">
          <a:noFill/>
        </a:ln>
      </xdr:spPr>
    </xdr:pic>
  </etc:cellImage>
  <etc:cellImage>
    <xdr:pic>
      <xdr:nvPicPr>
        <xdr:cNvPr id="17" name="ID_DC9A3B79710145598866019761CFB832" descr="tb_image_share_1758869393302.jpg"/>
        <xdr:cNvPicPr>
          <a:picLocks noChangeAspect="1"/>
        </xdr:cNvPicPr>
      </xdr:nvPicPr>
      <xdr:blipFill>
        <a:blip r:embed="rId13"/>
        <a:srcRect l="51613" b="15602"/>
        <a:stretch>
          <a:fillRect/>
        </a:stretch>
      </xdr:blipFill>
      <xdr:spPr>
        <a:xfrm>
          <a:off x="12642850" y="863600"/>
          <a:ext cx="1530985" cy="2006600"/>
        </a:xfrm>
        <a:prstGeom prst="rect">
          <a:avLst/>
        </a:prstGeom>
        <a:noFill/>
        <a:ln w="9525">
          <a:noFill/>
        </a:ln>
      </xdr:spPr>
    </xdr:pic>
  </etc:cellImage>
  <etc:cellImage>
    <xdr:pic>
      <xdr:nvPicPr>
        <xdr:cNvPr id="18" name="ID_ECE6E3B4C3EA4157B8AFD3BBA3320ABD"/>
        <xdr:cNvPicPr>
          <a:picLocks noChangeAspect="1"/>
        </xdr:cNvPicPr>
      </xdr:nvPicPr>
      <xdr:blipFill>
        <a:blip r:embed="rId14"/>
        <a:srcRect l="43599" t="19154" r="11740" b="38957"/>
        <a:stretch>
          <a:fillRect/>
        </a:stretch>
      </xdr:blipFill>
      <xdr:spPr>
        <a:xfrm>
          <a:off x="12640945" y="303131855"/>
          <a:ext cx="1532890" cy="1981835"/>
        </a:xfrm>
        <a:prstGeom prst="rect">
          <a:avLst/>
        </a:prstGeom>
        <a:noFill/>
        <a:ln w="9525">
          <a:noFill/>
        </a:ln>
      </xdr:spPr>
    </xdr:pic>
  </etc:cellImage>
  <etc:cellImage>
    <xdr:pic>
      <xdr:nvPicPr>
        <xdr:cNvPr id="19" name="ID_83579965078949CC8EE4C3C38A5AEF22"/>
        <xdr:cNvPicPr>
          <a:picLocks noChangeAspect="1"/>
        </xdr:cNvPicPr>
      </xdr:nvPicPr>
      <xdr:blipFill>
        <a:blip r:embed="rId15"/>
        <a:stretch>
          <a:fillRect/>
        </a:stretch>
      </xdr:blipFill>
      <xdr:spPr>
        <a:xfrm>
          <a:off x="12374245" y="74581385"/>
          <a:ext cx="2066290" cy="1374775"/>
        </a:xfrm>
        <a:prstGeom prst="rect">
          <a:avLst/>
        </a:prstGeom>
        <a:noFill/>
        <a:ln w="9525">
          <a:noFill/>
        </a:ln>
      </xdr:spPr>
    </xdr:pic>
  </etc:cellImage>
  <etc:cellImage>
    <xdr:pic>
      <xdr:nvPicPr>
        <xdr:cNvPr id="20" name="ID_B90B2AB1C2BF4A0A9A1AA51A13B7CD60" descr="01e3ebbeee82a8dc4a574779ca0e74b"/>
        <xdr:cNvPicPr>
          <a:picLocks noChangeAspect="1"/>
        </xdr:cNvPicPr>
      </xdr:nvPicPr>
      <xdr:blipFill>
        <a:blip r:embed="rId16"/>
        <a:stretch>
          <a:fillRect/>
        </a:stretch>
      </xdr:blipFill>
      <xdr:spPr>
        <a:xfrm>
          <a:off x="12613640" y="253407545"/>
          <a:ext cx="1589405" cy="2124710"/>
        </a:xfrm>
        <a:prstGeom prst="rect">
          <a:avLst/>
        </a:prstGeom>
        <a:noFill/>
        <a:ln w="9525">
          <a:noFill/>
        </a:ln>
      </xdr:spPr>
    </xdr:pic>
  </etc:cellImage>
  <etc:cellImage>
    <xdr:pic>
      <xdr:nvPicPr>
        <xdr:cNvPr id="21" name="ID_CF0F9942E50A4F15B67FED1351A581DA" descr="草鱼"/>
        <xdr:cNvPicPr>
          <a:picLocks noChangeAspect="1"/>
        </xdr:cNvPicPr>
      </xdr:nvPicPr>
      <xdr:blipFill>
        <a:blip r:embed="rId17"/>
        <a:stretch>
          <a:fillRect/>
        </a:stretch>
      </xdr:blipFill>
      <xdr:spPr>
        <a:xfrm>
          <a:off x="12380595" y="201625200"/>
          <a:ext cx="2058035" cy="2057400"/>
        </a:xfrm>
        <a:prstGeom prst="rect">
          <a:avLst/>
        </a:prstGeom>
        <a:noFill/>
        <a:ln w="9525">
          <a:noFill/>
        </a:ln>
      </xdr:spPr>
    </xdr:pic>
  </etc:cellImage>
  <etc:cellImage>
    <xdr:pic>
      <xdr:nvPicPr>
        <xdr:cNvPr id="22" name="ID_9F8DCB36DC9C45A9A48DCDE535D1EA4E"/>
        <xdr:cNvPicPr>
          <a:picLocks noChangeAspect="1"/>
        </xdr:cNvPicPr>
      </xdr:nvPicPr>
      <xdr:blipFill>
        <a:blip r:embed="rId18"/>
        <a:stretch>
          <a:fillRect/>
        </a:stretch>
      </xdr:blipFill>
      <xdr:spPr>
        <a:xfrm>
          <a:off x="13015595" y="5459730"/>
          <a:ext cx="785495" cy="1450340"/>
        </a:xfrm>
        <a:prstGeom prst="rect">
          <a:avLst/>
        </a:prstGeom>
        <a:noFill/>
        <a:ln w="9525">
          <a:noFill/>
        </a:ln>
      </xdr:spPr>
    </xdr:pic>
  </etc:cellImage>
  <etc:cellImage>
    <xdr:pic>
      <xdr:nvPicPr>
        <xdr:cNvPr id="23" name="ID_AA0E8496AB184A17AD633E359CF0FF9A"/>
        <xdr:cNvPicPr>
          <a:picLocks noChangeAspect="1"/>
        </xdr:cNvPicPr>
      </xdr:nvPicPr>
      <xdr:blipFill>
        <a:blip r:embed="rId19"/>
        <a:stretch>
          <a:fillRect/>
        </a:stretch>
      </xdr:blipFill>
      <xdr:spPr>
        <a:xfrm>
          <a:off x="12365990" y="916237055"/>
          <a:ext cx="2082800" cy="2083435"/>
        </a:xfrm>
        <a:prstGeom prst="rect">
          <a:avLst/>
        </a:prstGeom>
        <a:noFill/>
        <a:ln w="9525">
          <a:noFill/>
        </a:ln>
      </xdr:spPr>
    </xdr:pic>
  </etc:cellImage>
  <etc:cellImage>
    <xdr:pic>
      <xdr:nvPicPr>
        <xdr:cNvPr id="24" name="ID_2CA5E1501850439AB7C7B21D14C53E45"/>
        <xdr:cNvPicPr>
          <a:picLocks noChangeAspect="1"/>
        </xdr:cNvPicPr>
      </xdr:nvPicPr>
      <xdr:blipFill>
        <a:blip r:embed="rId20"/>
        <a:srcRect l="21223" t="31512" r="10896" b="4210"/>
        <a:stretch>
          <a:fillRect/>
        </a:stretch>
      </xdr:blipFill>
      <xdr:spPr>
        <a:xfrm>
          <a:off x="12409805" y="87214710"/>
          <a:ext cx="1999615" cy="2024380"/>
        </a:xfrm>
        <a:prstGeom prst="rect">
          <a:avLst/>
        </a:prstGeom>
        <a:noFill/>
        <a:ln w="9525">
          <a:noFill/>
        </a:ln>
      </xdr:spPr>
    </xdr:pic>
  </etc:cellImage>
  <etc:cellImage>
    <xdr:pic>
      <xdr:nvPicPr>
        <xdr:cNvPr id="25" name="ID_44D1FCAACA5E47D6A22EB5263740B2A6"/>
        <xdr:cNvPicPr>
          <a:picLocks noChangeAspect="1"/>
        </xdr:cNvPicPr>
      </xdr:nvPicPr>
      <xdr:blipFill>
        <a:blip r:embed="rId21"/>
        <a:srcRect r="16341" b="24408"/>
        <a:stretch>
          <a:fillRect/>
        </a:stretch>
      </xdr:blipFill>
      <xdr:spPr>
        <a:xfrm>
          <a:off x="12355195" y="188645800"/>
          <a:ext cx="2106295" cy="2108200"/>
        </a:xfrm>
        <a:prstGeom prst="rect">
          <a:avLst/>
        </a:prstGeom>
        <a:noFill/>
        <a:ln w="9525">
          <a:noFill/>
        </a:ln>
      </xdr:spPr>
    </xdr:pic>
  </etc:cellImage>
  <etc:cellImage>
    <xdr:pic>
      <xdr:nvPicPr>
        <xdr:cNvPr id="26" name="ID_910C9E81047F4FD0932887D1F4D8A8E4"/>
        <xdr:cNvPicPr>
          <a:picLocks noChangeAspect="1"/>
        </xdr:cNvPicPr>
      </xdr:nvPicPr>
      <xdr:blipFill>
        <a:blip r:embed="rId18"/>
        <a:stretch>
          <a:fillRect/>
        </a:stretch>
      </xdr:blipFill>
      <xdr:spPr>
        <a:xfrm>
          <a:off x="12980670" y="7572375"/>
          <a:ext cx="787400" cy="1450975"/>
        </a:xfrm>
        <a:prstGeom prst="rect">
          <a:avLst/>
        </a:prstGeom>
        <a:noFill/>
        <a:ln w="9525">
          <a:noFill/>
        </a:ln>
      </xdr:spPr>
    </xdr:pic>
  </etc:cellImage>
  <etc:cellImage>
    <xdr:pic>
      <xdr:nvPicPr>
        <xdr:cNvPr id="27" name="ID_F1A5B37BC90F4D1492511A8C0103F7DA" descr="灯笼泡椒,灯笼椒_大山谷图库"/>
        <xdr:cNvPicPr>
          <a:picLocks noChangeAspect="1"/>
        </xdr:cNvPicPr>
      </xdr:nvPicPr>
      <xdr:blipFill>
        <a:blip r:embed="rId22"/>
        <a:stretch>
          <a:fillRect/>
        </a:stretch>
      </xdr:blipFill>
      <xdr:spPr>
        <a:xfrm>
          <a:off x="12367895" y="745684310"/>
          <a:ext cx="2080895" cy="2075180"/>
        </a:xfrm>
        <a:prstGeom prst="rect">
          <a:avLst/>
        </a:prstGeom>
        <a:noFill/>
        <a:ln w="9525">
          <a:noFill/>
        </a:ln>
      </xdr:spPr>
    </xdr:pic>
  </etc:cellImage>
  <etc:cellImage>
    <xdr:pic>
      <xdr:nvPicPr>
        <xdr:cNvPr id="28" name="ID_929843A3B2DD4033AC8147CB735EB881"/>
        <xdr:cNvPicPr>
          <a:picLocks noChangeAspect="1"/>
        </xdr:cNvPicPr>
      </xdr:nvPicPr>
      <xdr:blipFill>
        <a:blip r:embed="rId23"/>
        <a:srcRect t="16014"/>
        <a:stretch>
          <a:fillRect/>
        </a:stretch>
      </xdr:blipFill>
      <xdr:spPr>
        <a:xfrm>
          <a:off x="12399010" y="123901200"/>
          <a:ext cx="2018665" cy="2049145"/>
        </a:xfrm>
        <a:prstGeom prst="rect">
          <a:avLst/>
        </a:prstGeom>
        <a:noFill/>
        <a:ln w="9525">
          <a:noFill/>
        </a:ln>
      </xdr:spPr>
    </xdr:pic>
  </etc:cellImage>
  <etc:cellImage>
    <xdr:pic>
      <xdr:nvPicPr>
        <xdr:cNvPr id="29" name="ID_4AD9099BE4E4418E9A9566979143F1BE" descr="ff88143c837e44ee9ff746791da431af.jpg (1920×1080)"/>
        <xdr:cNvPicPr>
          <a:picLocks noChangeAspect="1"/>
        </xdr:cNvPicPr>
      </xdr:nvPicPr>
      <xdr:blipFill>
        <a:blip r:embed="rId24"/>
        <a:srcRect l="24980" t="30070" r="32565" b="4565"/>
        <a:stretch>
          <a:fillRect/>
        </a:stretch>
      </xdr:blipFill>
      <xdr:spPr>
        <a:xfrm>
          <a:off x="12376150" y="693877200"/>
          <a:ext cx="2064385" cy="2049145"/>
        </a:xfrm>
        <a:prstGeom prst="rect">
          <a:avLst/>
        </a:prstGeom>
        <a:noFill/>
        <a:ln w="9525">
          <a:noFill/>
        </a:ln>
      </xdr:spPr>
    </xdr:pic>
  </etc:cellImage>
  <etc:cellImage>
    <xdr:pic>
      <xdr:nvPicPr>
        <xdr:cNvPr id="30" name="ID_60022C807211462DACDFCC121390D1C9"/>
        <xdr:cNvPicPr>
          <a:picLocks noChangeAspect="1"/>
        </xdr:cNvPicPr>
      </xdr:nvPicPr>
      <xdr:blipFill>
        <a:blip r:embed="rId25"/>
        <a:stretch>
          <a:fillRect/>
        </a:stretch>
      </xdr:blipFill>
      <xdr:spPr>
        <a:xfrm>
          <a:off x="12780010" y="11734165"/>
          <a:ext cx="1256030" cy="1855470"/>
        </a:xfrm>
        <a:prstGeom prst="rect">
          <a:avLst/>
        </a:prstGeom>
        <a:noFill/>
        <a:ln w="9525">
          <a:noFill/>
        </a:ln>
      </xdr:spPr>
    </xdr:pic>
  </etc:cellImage>
  <etc:cellImage>
    <xdr:pic>
      <xdr:nvPicPr>
        <xdr:cNvPr id="31" name="ID_479C533FB1754A82B3E5F1CBCDA84C3C"/>
        <xdr:cNvPicPr>
          <a:picLocks noChangeAspect="1"/>
        </xdr:cNvPicPr>
      </xdr:nvPicPr>
      <xdr:blipFill>
        <a:blip r:embed="rId26"/>
        <a:stretch>
          <a:fillRect/>
        </a:stretch>
      </xdr:blipFill>
      <xdr:spPr>
        <a:xfrm>
          <a:off x="12867640" y="9465310"/>
          <a:ext cx="982980" cy="1973580"/>
        </a:xfrm>
        <a:prstGeom prst="rect">
          <a:avLst/>
        </a:prstGeom>
        <a:noFill/>
        <a:ln w="9525">
          <a:noFill/>
        </a:ln>
      </xdr:spPr>
    </xdr:pic>
  </etc:cellImage>
  <etc:cellImage>
    <xdr:pic>
      <xdr:nvPicPr>
        <xdr:cNvPr id="32" name="ID_5B89FCEB3D9B4941AFB0988FC4E24561" descr="8bb3a48dfc2de8a617436739b7584d2"/>
        <xdr:cNvPicPr>
          <a:picLocks noChangeAspect="1"/>
        </xdr:cNvPicPr>
      </xdr:nvPicPr>
      <xdr:blipFill>
        <a:blip r:embed="rId27"/>
        <a:stretch>
          <a:fillRect/>
        </a:stretch>
      </xdr:blipFill>
      <xdr:spPr>
        <a:xfrm>
          <a:off x="12611735" y="257725545"/>
          <a:ext cx="1593215" cy="2124710"/>
        </a:xfrm>
        <a:prstGeom prst="rect">
          <a:avLst/>
        </a:prstGeom>
        <a:noFill/>
        <a:ln w="9525">
          <a:noFill/>
        </a:ln>
      </xdr:spPr>
    </xdr:pic>
  </etc:cellImage>
  <etc:cellImage>
    <xdr:pic>
      <xdr:nvPicPr>
        <xdr:cNvPr id="33" name="ID_9C29175223CD45B6ADD1AFABBAB477E9"/>
        <xdr:cNvPicPr>
          <a:picLocks noChangeAspect="1"/>
        </xdr:cNvPicPr>
      </xdr:nvPicPr>
      <xdr:blipFill>
        <a:blip r:embed="rId28"/>
        <a:stretch>
          <a:fillRect/>
        </a:stretch>
      </xdr:blipFill>
      <xdr:spPr>
        <a:xfrm>
          <a:off x="12421870" y="970313655"/>
          <a:ext cx="1837055" cy="1762125"/>
        </a:xfrm>
        <a:prstGeom prst="rect">
          <a:avLst/>
        </a:prstGeom>
        <a:noFill/>
        <a:ln w="9525">
          <a:noFill/>
        </a:ln>
      </xdr:spPr>
    </xdr:pic>
  </etc:cellImage>
  <etc:cellImage>
    <xdr:pic>
      <xdr:nvPicPr>
        <xdr:cNvPr id="34" name="ID_AE11E304BDBD47209DC3F69FF570F8F5" descr="花鲢"/>
        <xdr:cNvPicPr>
          <a:picLocks noChangeAspect="1"/>
        </xdr:cNvPicPr>
      </xdr:nvPicPr>
      <xdr:blipFill>
        <a:blip r:embed="rId29"/>
        <a:stretch>
          <a:fillRect/>
        </a:stretch>
      </xdr:blipFill>
      <xdr:spPr>
        <a:xfrm>
          <a:off x="12392660" y="205934310"/>
          <a:ext cx="2031365" cy="2075180"/>
        </a:xfrm>
        <a:prstGeom prst="rect">
          <a:avLst/>
        </a:prstGeom>
        <a:noFill/>
        <a:ln w="9525">
          <a:noFill/>
        </a:ln>
      </xdr:spPr>
    </xdr:pic>
  </etc:cellImage>
  <etc:cellImage>
    <xdr:pic>
      <xdr:nvPicPr>
        <xdr:cNvPr id="35" name="ID_42856547A65D47699481F242547723C0" descr="23476902005"/>
        <xdr:cNvPicPr>
          <a:picLocks noChangeAspect="1"/>
        </xdr:cNvPicPr>
      </xdr:nvPicPr>
      <xdr:blipFill>
        <a:blip r:embed="rId30"/>
        <a:stretch>
          <a:fillRect/>
        </a:stretch>
      </xdr:blipFill>
      <xdr:spPr>
        <a:xfrm>
          <a:off x="12355195" y="307652420"/>
          <a:ext cx="2106295" cy="1584960"/>
        </a:xfrm>
        <a:prstGeom prst="rect">
          <a:avLst/>
        </a:prstGeom>
        <a:noFill/>
        <a:ln w="9525">
          <a:noFill/>
        </a:ln>
      </xdr:spPr>
    </xdr:pic>
  </etc:cellImage>
  <etc:cellImage>
    <xdr:pic>
      <xdr:nvPicPr>
        <xdr:cNvPr id="36" name="ID_A94AD930F7434CC6A479C5700DF10863"/>
        <xdr:cNvPicPr>
          <a:picLocks noChangeAspect="1"/>
        </xdr:cNvPicPr>
      </xdr:nvPicPr>
      <xdr:blipFill>
        <a:blip r:embed="rId31"/>
        <a:stretch>
          <a:fillRect/>
        </a:stretch>
      </xdr:blipFill>
      <xdr:spPr>
        <a:xfrm>
          <a:off x="12419965" y="15976600"/>
          <a:ext cx="1974850" cy="1998345"/>
        </a:xfrm>
        <a:prstGeom prst="rect">
          <a:avLst/>
        </a:prstGeom>
        <a:noFill/>
        <a:ln w="9525">
          <a:noFill/>
        </a:ln>
      </xdr:spPr>
    </xdr:pic>
  </etc:cellImage>
  <etc:cellImage>
    <xdr:pic>
      <xdr:nvPicPr>
        <xdr:cNvPr id="37" name="ID_BB9D7F0030BC4525A4B2BCF2AFB98BEC" descr="红心火龙果 "/>
        <xdr:cNvPicPr>
          <a:picLocks noChangeAspect="1"/>
        </xdr:cNvPicPr>
      </xdr:nvPicPr>
      <xdr:blipFill>
        <a:blip r:embed="rId32"/>
        <a:srcRect t="24001"/>
        <a:stretch>
          <a:fillRect/>
        </a:stretch>
      </xdr:blipFill>
      <xdr:spPr>
        <a:xfrm>
          <a:off x="12376150" y="1190430055"/>
          <a:ext cx="2064385" cy="2083435"/>
        </a:xfrm>
        <a:prstGeom prst="rect">
          <a:avLst/>
        </a:prstGeom>
        <a:noFill/>
        <a:ln w="9525">
          <a:noFill/>
        </a:ln>
      </xdr:spPr>
    </xdr:pic>
  </etc:cellImage>
  <etc:cellImage>
    <xdr:pic>
      <xdr:nvPicPr>
        <xdr:cNvPr id="38" name="ID_E594D3A8D73548D2A3F0E76C76828DB1" descr="f2602bf1ed6277d6a89357771457553"/>
        <xdr:cNvPicPr>
          <a:picLocks noChangeAspect="1"/>
        </xdr:cNvPicPr>
      </xdr:nvPicPr>
      <xdr:blipFill>
        <a:blip r:embed="rId33"/>
        <a:stretch>
          <a:fillRect/>
        </a:stretch>
      </xdr:blipFill>
      <xdr:spPr>
        <a:xfrm>
          <a:off x="12626340" y="69909055"/>
          <a:ext cx="1564005" cy="2083435"/>
        </a:xfrm>
        <a:prstGeom prst="rect">
          <a:avLst/>
        </a:prstGeom>
        <a:noFill/>
        <a:ln w="9525">
          <a:noFill/>
        </a:ln>
      </xdr:spPr>
    </xdr:pic>
  </etc:cellImage>
  <etc:cellImage>
    <xdr:pic>
      <xdr:nvPicPr>
        <xdr:cNvPr id="39" name="ID_745633562B024ECFB7E18DD49063D806"/>
        <xdr:cNvPicPr>
          <a:picLocks noChangeAspect="1"/>
        </xdr:cNvPicPr>
      </xdr:nvPicPr>
      <xdr:blipFill>
        <a:blip r:embed="rId34"/>
        <a:stretch>
          <a:fillRect/>
        </a:stretch>
      </xdr:blipFill>
      <xdr:spPr>
        <a:xfrm>
          <a:off x="12382500" y="1197016910"/>
          <a:ext cx="2059940" cy="1627505"/>
        </a:xfrm>
        <a:prstGeom prst="rect">
          <a:avLst/>
        </a:prstGeom>
        <a:noFill/>
        <a:ln w="9525">
          <a:noFill/>
        </a:ln>
      </xdr:spPr>
    </xdr:pic>
  </etc:cellImage>
  <etc:cellImage>
    <xdr:pic>
      <xdr:nvPicPr>
        <xdr:cNvPr id="40" name="ID_21C12230E2D74B6D98B2A6CC108578EF"/>
        <xdr:cNvPicPr>
          <a:picLocks noChangeAspect="1"/>
        </xdr:cNvPicPr>
      </xdr:nvPicPr>
      <xdr:blipFill>
        <a:blip r:embed="rId35"/>
        <a:stretch>
          <a:fillRect/>
        </a:stretch>
      </xdr:blipFill>
      <xdr:spPr>
        <a:xfrm>
          <a:off x="12636500" y="121851420"/>
          <a:ext cx="1543685" cy="1838960"/>
        </a:xfrm>
        <a:prstGeom prst="rect">
          <a:avLst/>
        </a:prstGeom>
        <a:noFill/>
        <a:ln w="9525">
          <a:noFill/>
        </a:ln>
      </xdr:spPr>
    </xdr:pic>
  </etc:cellImage>
  <etc:cellImage>
    <xdr:pic>
      <xdr:nvPicPr>
        <xdr:cNvPr id="41" name="ID_9190B95625D1418FA60EE4B1076BBD31"/>
        <xdr:cNvPicPr>
          <a:picLocks noChangeAspect="1"/>
        </xdr:cNvPicPr>
      </xdr:nvPicPr>
      <xdr:blipFill>
        <a:blip r:embed="rId36"/>
        <a:stretch>
          <a:fillRect/>
        </a:stretch>
      </xdr:blipFill>
      <xdr:spPr>
        <a:xfrm>
          <a:off x="12724130" y="13977620"/>
          <a:ext cx="1368425" cy="1678305"/>
        </a:xfrm>
        <a:prstGeom prst="rect">
          <a:avLst/>
        </a:prstGeom>
        <a:noFill/>
        <a:ln w="9525">
          <a:noFill/>
        </a:ln>
      </xdr:spPr>
    </xdr:pic>
  </etc:cellImage>
  <etc:cellImage>
    <xdr:pic>
      <xdr:nvPicPr>
        <xdr:cNvPr id="42" name="ID_8C7B367683D446C5A49AAA855773B3A0"/>
        <xdr:cNvPicPr>
          <a:picLocks noChangeAspect="1"/>
        </xdr:cNvPicPr>
      </xdr:nvPicPr>
      <xdr:blipFill>
        <a:blip r:embed="rId37"/>
        <a:srcRect b="15799"/>
        <a:stretch>
          <a:fillRect/>
        </a:stretch>
      </xdr:blipFill>
      <xdr:spPr>
        <a:xfrm>
          <a:off x="12390755" y="117432455"/>
          <a:ext cx="2035175" cy="2032635"/>
        </a:xfrm>
        <a:prstGeom prst="rect">
          <a:avLst/>
        </a:prstGeom>
        <a:noFill/>
        <a:ln w="9525">
          <a:noFill/>
        </a:ln>
      </xdr:spPr>
    </xdr:pic>
  </etc:cellImage>
  <etc:cellImage>
    <xdr:pic>
      <xdr:nvPicPr>
        <xdr:cNvPr id="43" name="ID_D6FC3293C26F4C85BAFBCA71225BEF47" descr="鲜木耳"/>
        <xdr:cNvPicPr>
          <a:picLocks noChangeAspect="1"/>
        </xdr:cNvPicPr>
      </xdr:nvPicPr>
      <xdr:blipFill>
        <a:blip r:embed="rId38"/>
        <a:stretch>
          <a:fillRect/>
        </a:stretch>
      </xdr:blipFill>
      <xdr:spPr>
        <a:xfrm>
          <a:off x="12361545" y="1099752055"/>
          <a:ext cx="2093595" cy="2083435"/>
        </a:xfrm>
        <a:prstGeom prst="rect">
          <a:avLst/>
        </a:prstGeom>
        <a:noFill/>
        <a:ln w="9525">
          <a:noFill/>
        </a:ln>
      </xdr:spPr>
    </xdr:pic>
  </etc:cellImage>
  <etc:cellImage>
    <xdr:pic>
      <xdr:nvPicPr>
        <xdr:cNvPr id="44" name="ID_DD7E1E3FEEF94A5695FB6B97FA3DD4A7" descr="13933913b3cca995c112c6252b017a6"/>
        <xdr:cNvPicPr>
          <a:picLocks noChangeAspect="1"/>
        </xdr:cNvPicPr>
      </xdr:nvPicPr>
      <xdr:blipFill>
        <a:blip r:embed="rId39"/>
        <a:stretch>
          <a:fillRect/>
        </a:stretch>
      </xdr:blipFill>
      <xdr:spPr>
        <a:xfrm>
          <a:off x="12459335" y="65878075"/>
          <a:ext cx="1943735" cy="1458595"/>
        </a:xfrm>
        <a:prstGeom prst="rect">
          <a:avLst/>
        </a:prstGeom>
        <a:noFill/>
        <a:ln w="9525">
          <a:noFill/>
        </a:ln>
      </xdr:spPr>
    </xdr:pic>
  </etc:cellImage>
  <etc:cellImage>
    <xdr:pic>
      <xdr:nvPicPr>
        <xdr:cNvPr id="45" name="ID_378C422D2E9A4189A16E6ABEA755CD3A" descr="t049313e7da549c5e8d"/>
        <xdr:cNvPicPr>
          <a:picLocks noChangeAspect="1"/>
        </xdr:cNvPicPr>
      </xdr:nvPicPr>
      <xdr:blipFill>
        <a:blip r:embed="rId40"/>
        <a:stretch>
          <a:fillRect/>
        </a:stretch>
      </xdr:blipFill>
      <xdr:spPr>
        <a:xfrm>
          <a:off x="12359640" y="888170055"/>
          <a:ext cx="2095500" cy="2091690"/>
        </a:xfrm>
        <a:prstGeom prst="rect">
          <a:avLst/>
        </a:prstGeom>
        <a:noFill/>
        <a:ln w="9525">
          <a:noFill/>
        </a:ln>
      </xdr:spPr>
    </xdr:pic>
  </etc:cellImage>
  <etc:cellImage>
    <xdr:pic>
      <xdr:nvPicPr>
        <xdr:cNvPr id="47" name="ID_21662BB7B7C440DE89D3BB24393B9309"/>
        <xdr:cNvPicPr>
          <a:picLocks noChangeAspect="1"/>
        </xdr:cNvPicPr>
      </xdr:nvPicPr>
      <xdr:blipFill>
        <a:blip r:embed="rId41"/>
        <a:stretch>
          <a:fillRect/>
        </a:stretch>
      </xdr:blipFill>
      <xdr:spPr>
        <a:xfrm>
          <a:off x="12419965" y="18143855"/>
          <a:ext cx="1974850" cy="1990090"/>
        </a:xfrm>
        <a:prstGeom prst="rect">
          <a:avLst/>
        </a:prstGeom>
        <a:noFill/>
        <a:ln w="9525">
          <a:noFill/>
        </a:ln>
      </xdr:spPr>
    </xdr:pic>
  </etc:cellImage>
  <etc:cellImage>
    <xdr:pic>
      <xdr:nvPicPr>
        <xdr:cNvPr id="48" name="ID_F8659E36C1C14AC284E994F06574EDED"/>
        <xdr:cNvPicPr>
          <a:picLocks noChangeAspect="1"/>
        </xdr:cNvPicPr>
      </xdr:nvPicPr>
      <xdr:blipFill>
        <a:blip r:embed="rId42"/>
        <a:stretch>
          <a:fillRect/>
        </a:stretch>
      </xdr:blipFill>
      <xdr:spPr>
        <a:xfrm>
          <a:off x="12355195" y="741366310"/>
          <a:ext cx="2106295" cy="2075180"/>
        </a:xfrm>
        <a:prstGeom prst="rect">
          <a:avLst/>
        </a:prstGeom>
        <a:noFill/>
        <a:ln w="9525">
          <a:noFill/>
        </a:ln>
      </xdr:spPr>
    </xdr:pic>
  </etc:cellImage>
  <etc:cellImage>
    <xdr:pic>
      <xdr:nvPicPr>
        <xdr:cNvPr id="49" name="ID_73DE831C72AC444AAC20E312F1565C4D" descr="鲫鱼"/>
        <xdr:cNvPicPr>
          <a:picLocks noChangeAspect="1"/>
        </xdr:cNvPicPr>
      </xdr:nvPicPr>
      <xdr:blipFill>
        <a:blip r:embed="rId43"/>
        <a:stretch>
          <a:fillRect/>
        </a:stretch>
      </xdr:blipFill>
      <xdr:spPr>
        <a:xfrm>
          <a:off x="12390755" y="210269455"/>
          <a:ext cx="2035175" cy="2032635"/>
        </a:xfrm>
        <a:prstGeom prst="rect">
          <a:avLst/>
        </a:prstGeom>
        <a:noFill/>
        <a:ln w="9525">
          <a:noFill/>
        </a:ln>
      </xdr:spPr>
    </xdr:pic>
  </etc:cellImage>
  <etc:cellImage>
    <xdr:pic>
      <xdr:nvPicPr>
        <xdr:cNvPr id="50" name="ID_EA3A62481E0D4FE9A68B6F9D97806290" descr="牛腱子"/>
        <xdr:cNvPicPr>
          <a:picLocks noChangeAspect="1"/>
        </xdr:cNvPicPr>
      </xdr:nvPicPr>
      <xdr:blipFill>
        <a:blip r:embed="rId44"/>
        <a:stretch>
          <a:fillRect/>
        </a:stretch>
      </xdr:blipFill>
      <xdr:spPr>
        <a:xfrm>
          <a:off x="12400915" y="115281710"/>
          <a:ext cx="2014220" cy="2015490"/>
        </a:xfrm>
        <a:prstGeom prst="rect">
          <a:avLst/>
        </a:prstGeom>
        <a:noFill/>
        <a:ln w="9525">
          <a:noFill/>
        </a:ln>
      </xdr:spPr>
    </xdr:pic>
  </etc:cellImage>
  <etc:cellImage>
    <xdr:pic>
      <xdr:nvPicPr>
        <xdr:cNvPr id="51" name="ID_B2C82C146D34475786A1C80C368768EC"/>
        <xdr:cNvPicPr>
          <a:picLocks noChangeAspect="1"/>
        </xdr:cNvPicPr>
      </xdr:nvPicPr>
      <xdr:blipFill>
        <a:blip r:embed="rId45"/>
        <a:stretch>
          <a:fillRect/>
        </a:stretch>
      </xdr:blipFill>
      <xdr:spPr>
        <a:xfrm>
          <a:off x="12388850" y="840689200"/>
          <a:ext cx="2037080" cy="2049145"/>
        </a:xfrm>
        <a:prstGeom prst="rect">
          <a:avLst/>
        </a:prstGeom>
        <a:noFill/>
        <a:ln w="9525">
          <a:noFill/>
        </a:ln>
      </xdr:spPr>
    </xdr:pic>
  </etc:cellImage>
  <etc:cellImage>
    <xdr:pic>
      <xdr:nvPicPr>
        <xdr:cNvPr id="52" name="ID_7DDE99249A4047688DD3E54684B7378A" descr="tb_image_share_1761721100031.jpg"/>
        <xdr:cNvPicPr>
          <a:picLocks noChangeAspect="1"/>
        </xdr:cNvPicPr>
      </xdr:nvPicPr>
      <xdr:blipFill>
        <a:blip r:embed="rId46"/>
        <a:srcRect b="21666"/>
        <a:stretch>
          <a:fillRect/>
        </a:stretch>
      </xdr:blipFill>
      <xdr:spPr>
        <a:xfrm>
          <a:off x="12361545" y="896831455"/>
          <a:ext cx="2089150" cy="2040890"/>
        </a:xfrm>
        <a:prstGeom prst="rect">
          <a:avLst/>
        </a:prstGeom>
        <a:solidFill>
          <a:srgbClr val="92D050">
            <a:alpha val="100000"/>
          </a:srgbClr>
        </a:solidFill>
        <a:ln w="9525">
          <a:noFill/>
        </a:ln>
      </xdr:spPr>
    </xdr:pic>
  </etc:cellImage>
  <etc:cellImage>
    <xdr:pic>
      <xdr:nvPicPr>
        <xdr:cNvPr id="53" name="ID_36DF6FB3C16E492B8D64A6F028E469DE"/>
        <xdr:cNvPicPr>
          <a:picLocks noChangeAspect="1"/>
        </xdr:cNvPicPr>
      </xdr:nvPicPr>
      <xdr:blipFill>
        <a:blip r:embed="rId47"/>
        <a:stretch>
          <a:fillRect/>
        </a:stretch>
      </xdr:blipFill>
      <xdr:spPr>
        <a:xfrm>
          <a:off x="12965430" y="20589240"/>
          <a:ext cx="885190" cy="1408430"/>
        </a:xfrm>
        <a:prstGeom prst="rect">
          <a:avLst/>
        </a:prstGeom>
        <a:noFill/>
        <a:ln w="9525">
          <a:noFill/>
        </a:ln>
      </xdr:spPr>
    </xdr:pic>
  </etc:cellImage>
  <etc:cellImage>
    <xdr:pic>
      <xdr:nvPicPr>
        <xdr:cNvPr id="54" name="ID_531B5F6DB35149C3B0040CEB77E7D77C"/>
        <xdr:cNvPicPr>
          <a:picLocks noChangeAspect="1"/>
        </xdr:cNvPicPr>
      </xdr:nvPicPr>
      <xdr:blipFill>
        <a:blip r:embed="rId48"/>
        <a:stretch>
          <a:fillRect/>
        </a:stretch>
      </xdr:blipFill>
      <xdr:spPr>
        <a:xfrm>
          <a:off x="12380595" y="791048710"/>
          <a:ext cx="2058035" cy="2024380"/>
        </a:xfrm>
        <a:prstGeom prst="rect">
          <a:avLst/>
        </a:prstGeom>
        <a:noFill/>
        <a:ln w="9525">
          <a:noFill/>
        </a:ln>
      </xdr:spPr>
    </xdr:pic>
  </etc:cellImage>
  <etc:cellImage>
    <xdr:pic>
      <xdr:nvPicPr>
        <xdr:cNvPr id="55" name="ID_2A10592BF7D3405CBA239984C1F597E7"/>
        <xdr:cNvPicPr>
          <a:picLocks noChangeAspect="1"/>
        </xdr:cNvPicPr>
      </xdr:nvPicPr>
      <xdr:blipFill>
        <a:blip r:embed="rId49"/>
        <a:srcRect l="46622" t="12575" r="10553" b="16879"/>
        <a:stretch>
          <a:fillRect/>
        </a:stretch>
      </xdr:blipFill>
      <xdr:spPr>
        <a:xfrm>
          <a:off x="12696825" y="246964200"/>
          <a:ext cx="1423035" cy="2057400"/>
        </a:xfrm>
        <a:prstGeom prst="rect">
          <a:avLst/>
        </a:prstGeom>
        <a:noFill/>
        <a:ln w="9525">
          <a:noFill/>
        </a:ln>
      </xdr:spPr>
    </xdr:pic>
  </etc:cellImage>
  <etc:cellImage>
    <xdr:pic>
      <xdr:nvPicPr>
        <xdr:cNvPr id="56" name="ID_71A48AA155034C939D5D1E35E19539BD"/>
        <xdr:cNvPicPr>
          <a:picLocks noChangeAspect="1"/>
        </xdr:cNvPicPr>
      </xdr:nvPicPr>
      <xdr:blipFill>
        <a:blip r:embed="rId50"/>
        <a:stretch>
          <a:fillRect/>
        </a:stretch>
      </xdr:blipFill>
      <xdr:spPr>
        <a:xfrm>
          <a:off x="12522200" y="134712710"/>
          <a:ext cx="1784985" cy="2024380"/>
        </a:xfrm>
        <a:prstGeom prst="rect">
          <a:avLst/>
        </a:prstGeom>
        <a:noFill/>
        <a:ln w="9525">
          <a:noFill/>
        </a:ln>
      </xdr:spPr>
    </xdr:pic>
  </etc:cellImage>
  <etc:cellImage>
    <xdr:pic>
      <xdr:nvPicPr>
        <xdr:cNvPr id="57" name="ID_3700AD21572345CDA36D72BFC0F1854E" descr="正大富硒鸡蛋"/>
        <xdr:cNvPicPr>
          <a:picLocks noChangeAspect="1"/>
        </xdr:cNvPicPr>
      </xdr:nvPicPr>
      <xdr:blipFill>
        <a:blip r:embed="rId51"/>
        <a:stretch>
          <a:fillRect/>
        </a:stretch>
      </xdr:blipFill>
      <xdr:spPr>
        <a:xfrm>
          <a:off x="12367895" y="195164710"/>
          <a:ext cx="2080895" cy="2024380"/>
        </a:xfrm>
        <a:prstGeom prst="rect">
          <a:avLst/>
        </a:prstGeom>
        <a:noFill/>
        <a:ln w="9525">
          <a:noFill/>
        </a:ln>
      </xdr:spPr>
    </xdr:pic>
  </etc:cellImage>
  <etc:cellImage>
    <xdr:pic>
      <xdr:nvPicPr>
        <xdr:cNvPr id="58" name="ID_7F8AA3996719452185B084F77CB82DF6" descr="DSC_2407"/>
        <xdr:cNvPicPr>
          <a:picLocks noChangeAspect="1"/>
        </xdr:cNvPicPr>
      </xdr:nvPicPr>
      <xdr:blipFill>
        <a:blip r:embed="rId52"/>
        <a:stretch>
          <a:fillRect/>
        </a:stretch>
      </xdr:blipFill>
      <xdr:spPr>
        <a:xfrm>
          <a:off x="12765405" y="24671655"/>
          <a:ext cx="1283335" cy="1880235"/>
        </a:xfrm>
        <a:prstGeom prst="rect">
          <a:avLst/>
        </a:prstGeom>
        <a:noFill/>
        <a:ln w="9525">
          <a:noFill/>
        </a:ln>
      </xdr:spPr>
    </xdr:pic>
  </etc:cellImage>
  <etc:cellImage>
    <xdr:pic>
      <xdr:nvPicPr>
        <xdr:cNvPr id="59" name="ID_54E6C205CB09436F9A0646C091F25F46"/>
        <xdr:cNvPicPr>
          <a:picLocks noChangeAspect="1"/>
        </xdr:cNvPicPr>
      </xdr:nvPicPr>
      <xdr:blipFill>
        <a:blip r:embed="rId53"/>
        <a:srcRect r="2853" b="11461"/>
        <a:stretch>
          <a:fillRect/>
        </a:stretch>
      </xdr:blipFill>
      <xdr:spPr>
        <a:xfrm>
          <a:off x="12374245" y="80737710"/>
          <a:ext cx="2066290" cy="2015490"/>
        </a:xfrm>
        <a:prstGeom prst="rect">
          <a:avLst/>
        </a:prstGeom>
        <a:noFill/>
        <a:ln w="9525">
          <a:noFill/>
        </a:ln>
      </xdr:spPr>
    </xdr:pic>
  </etc:cellImage>
  <etc:cellImage>
    <xdr:pic>
      <xdr:nvPicPr>
        <xdr:cNvPr id="60" name="ID_A831D496923245DC87BC029BFE286DF0" descr="3be6657d7f887eaee86b97d2b896b8b2"/>
        <xdr:cNvPicPr>
          <a:picLocks noChangeAspect="1"/>
        </xdr:cNvPicPr>
      </xdr:nvPicPr>
      <xdr:blipFill>
        <a:blip r:embed="rId54"/>
        <a:stretch>
          <a:fillRect/>
        </a:stretch>
      </xdr:blipFill>
      <xdr:spPr>
        <a:xfrm>
          <a:off x="12461875" y="26796365"/>
          <a:ext cx="1892935" cy="1957070"/>
        </a:xfrm>
        <a:prstGeom prst="rect">
          <a:avLst/>
        </a:prstGeom>
        <a:noFill/>
        <a:ln w="9525">
          <a:noFill/>
        </a:ln>
      </xdr:spPr>
    </xdr:pic>
  </etc:cellImage>
  <etc:cellImage>
    <xdr:pic>
      <xdr:nvPicPr>
        <xdr:cNvPr id="61" name="ID_5CFFD957AF904A9FA7A2CFEC45BE2DEC"/>
        <xdr:cNvPicPr>
          <a:picLocks noChangeAspect="1"/>
        </xdr:cNvPicPr>
      </xdr:nvPicPr>
      <xdr:blipFill>
        <a:blip r:embed="rId55"/>
        <a:stretch>
          <a:fillRect/>
        </a:stretch>
      </xdr:blipFill>
      <xdr:spPr>
        <a:xfrm>
          <a:off x="12597130" y="1209869310"/>
          <a:ext cx="1620520" cy="2075180"/>
        </a:xfrm>
        <a:prstGeom prst="rect">
          <a:avLst/>
        </a:prstGeom>
        <a:noFill/>
        <a:ln w="9525">
          <a:noFill/>
        </a:ln>
      </xdr:spPr>
    </xdr:pic>
  </etc:cellImage>
  <etc:cellImage>
    <xdr:pic>
      <xdr:nvPicPr>
        <xdr:cNvPr id="62" name="ID_A9087F4D069345EB8215C0773DFE9E58" descr="猪肚"/>
        <xdr:cNvPicPr>
          <a:picLocks noChangeAspect="1"/>
        </xdr:cNvPicPr>
      </xdr:nvPicPr>
      <xdr:blipFill>
        <a:blip r:embed="rId56"/>
        <a:stretch>
          <a:fillRect/>
        </a:stretch>
      </xdr:blipFill>
      <xdr:spPr>
        <a:xfrm>
          <a:off x="12399010" y="85081110"/>
          <a:ext cx="2016125" cy="1973580"/>
        </a:xfrm>
        <a:prstGeom prst="rect">
          <a:avLst/>
        </a:prstGeom>
        <a:noFill/>
        <a:ln w="9525">
          <a:noFill/>
        </a:ln>
      </xdr:spPr>
    </xdr:pic>
  </etc:cellImage>
  <etc:cellImage>
    <xdr:pic>
      <xdr:nvPicPr>
        <xdr:cNvPr id="63" name="ID_2D2391D049FC4E789ACFB79751846816" descr="t014c67a92fc8db6261"/>
        <xdr:cNvPicPr>
          <a:picLocks noChangeAspect="1"/>
        </xdr:cNvPicPr>
      </xdr:nvPicPr>
      <xdr:blipFill>
        <a:blip r:embed="rId57"/>
        <a:stretch>
          <a:fillRect/>
        </a:stretch>
      </xdr:blipFill>
      <xdr:spPr>
        <a:xfrm>
          <a:off x="12355195" y="449884800"/>
          <a:ext cx="2106295" cy="2108200"/>
        </a:xfrm>
        <a:prstGeom prst="rect">
          <a:avLst/>
        </a:prstGeom>
        <a:noFill/>
        <a:ln w="9525">
          <a:noFill/>
        </a:ln>
      </xdr:spPr>
    </xdr:pic>
  </etc:cellImage>
  <etc:cellImage>
    <xdr:pic>
      <xdr:nvPicPr>
        <xdr:cNvPr id="65" name="ID_C7A324F8355744739803DE71BD9293B0" descr="DSC_2411"/>
        <xdr:cNvPicPr>
          <a:picLocks noChangeAspect="1"/>
        </xdr:cNvPicPr>
      </xdr:nvPicPr>
      <xdr:blipFill>
        <a:blip r:embed="rId58"/>
        <a:stretch>
          <a:fillRect/>
        </a:stretch>
      </xdr:blipFill>
      <xdr:spPr>
        <a:xfrm>
          <a:off x="12705080" y="28955365"/>
          <a:ext cx="1406525" cy="1948180"/>
        </a:xfrm>
        <a:prstGeom prst="rect">
          <a:avLst/>
        </a:prstGeom>
        <a:noFill/>
        <a:ln w="9525">
          <a:noFill/>
        </a:ln>
      </xdr:spPr>
    </xdr:pic>
  </etc:cellImage>
  <etc:cellImage>
    <xdr:pic>
      <xdr:nvPicPr>
        <xdr:cNvPr id="66" name="ID_47FF8B4475BB4241956A545F571B5F8B" descr="ef2d8adfe5fde9a596b87bfa1385b45"/>
        <xdr:cNvPicPr>
          <a:picLocks noChangeAspect="1"/>
        </xdr:cNvPicPr>
      </xdr:nvPicPr>
      <xdr:blipFill>
        <a:blip r:embed="rId59"/>
        <a:stretch>
          <a:fillRect/>
        </a:stretch>
      </xdr:blipFill>
      <xdr:spPr>
        <a:xfrm>
          <a:off x="12753340" y="31156910"/>
          <a:ext cx="1310005" cy="1863725"/>
        </a:xfrm>
        <a:prstGeom prst="rect">
          <a:avLst/>
        </a:prstGeom>
        <a:noFill/>
        <a:ln w="9525">
          <a:noFill/>
        </a:ln>
      </xdr:spPr>
    </xdr:pic>
  </etc:cellImage>
  <etc:cellImage>
    <xdr:pic>
      <xdr:nvPicPr>
        <xdr:cNvPr id="67" name="ID_DFB1C9FE2D6C4347B0020D89E2061584" descr="饺子皮"/>
        <xdr:cNvPicPr>
          <a:picLocks noChangeAspect="1"/>
        </xdr:cNvPicPr>
      </xdr:nvPicPr>
      <xdr:blipFill>
        <a:blip r:embed="rId60"/>
        <a:stretch>
          <a:fillRect/>
        </a:stretch>
      </xdr:blipFill>
      <xdr:spPr>
        <a:xfrm>
          <a:off x="12395200" y="864412800"/>
          <a:ext cx="2026285" cy="2099945"/>
        </a:xfrm>
        <a:prstGeom prst="rect">
          <a:avLst/>
        </a:prstGeom>
        <a:noFill/>
        <a:ln w="9525">
          <a:noFill/>
        </a:ln>
      </xdr:spPr>
    </xdr:pic>
  </etc:cellImage>
  <etc:cellImage>
    <xdr:pic>
      <xdr:nvPicPr>
        <xdr:cNvPr id="68" name="ID_3CE6C87FB63246C5A8D675A2B798F1DE"/>
        <xdr:cNvPicPr>
          <a:picLocks noChangeAspect="1"/>
        </xdr:cNvPicPr>
      </xdr:nvPicPr>
      <xdr:blipFill>
        <a:blip r:embed="rId61"/>
        <a:stretch>
          <a:fillRect/>
        </a:stretch>
      </xdr:blipFill>
      <xdr:spPr>
        <a:xfrm rot="10800000">
          <a:off x="12767945" y="33214310"/>
          <a:ext cx="1278890" cy="2075180"/>
        </a:xfrm>
        <a:prstGeom prst="rect">
          <a:avLst/>
        </a:prstGeom>
        <a:noFill/>
        <a:ln w="9525">
          <a:noFill/>
        </a:ln>
      </xdr:spPr>
    </xdr:pic>
  </etc:cellImage>
  <etc:cellImage>
    <xdr:pic>
      <xdr:nvPicPr>
        <xdr:cNvPr id="69" name="ID_00B1A7CE861245D7B2D0123E85FDF718" descr="f4c8b9976b52a0eddb1bc1d66e6f32d"/>
        <xdr:cNvPicPr>
          <a:picLocks noChangeAspect="1"/>
        </xdr:cNvPicPr>
      </xdr:nvPicPr>
      <xdr:blipFill>
        <a:blip r:embed="rId62"/>
        <a:stretch>
          <a:fillRect/>
        </a:stretch>
      </xdr:blipFill>
      <xdr:spPr>
        <a:xfrm>
          <a:off x="12611735" y="287951545"/>
          <a:ext cx="1591310" cy="2124710"/>
        </a:xfrm>
        <a:prstGeom prst="rect">
          <a:avLst/>
        </a:prstGeom>
        <a:noFill/>
        <a:ln w="9525">
          <a:noFill/>
        </a:ln>
      </xdr:spPr>
    </xdr:pic>
  </etc:cellImage>
  <etc:cellImage>
    <xdr:pic>
      <xdr:nvPicPr>
        <xdr:cNvPr id="70" name="ID_B25D4FDAB1EB42B394524F1C733D93FC"/>
        <xdr:cNvPicPr>
          <a:picLocks noChangeAspect="1"/>
        </xdr:cNvPicPr>
      </xdr:nvPicPr>
      <xdr:blipFill>
        <a:blip r:embed="rId63"/>
        <a:stretch>
          <a:fillRect/>
        </a:stretch>
      </xdr:blipFill>
      <xdr:spPr>
        <a:xfrm>
          <a:off x="12386310" y="713291055"/>
          <a:ext cx="2043430" cy="2091690"/>
        </a:xfrm>
        <a:prstGeom prst="rect">
          <a:avLst/>
        </a:prstGeom>
        <a:noFill/>
        <a:ln w="9525">
          <a:noFill/>
        </a:ln>
      </xdr:spPr>
    </xdr:pic>
  </etc:cellImage>
  <etc:cellImage>
    <xdr:pic>
      <xdr:nvPicPr>
        <xdr:cNvPr id="71" name="ID_21BAEF1970414823957DB8F23A1243F1"/>
        <xdr:cNvPicPr>
          <a:picLocks noChangeAspect="1"/>
        </xdr:cNvPicPr>
      </xdr:nvPicPr>
      <xdr:blipFill>
        <a:blip r:embed="rId64"/>
        <a:stretch>
          <a:fillRect/>
        </a:stretch>
      </xdr:blipFill>
      <xdr:spPr>
        <a:xfrm>
          <a:off x="12355195" y="342466295"/>
          <a:ext cx="2106295" cy="1045210"/>
        </a:xfrm>
        <a:prstGeom prst="rect">
          <a:avLst/>
        </a:prstGeom>
        <a:noFill/>
        <a:ln w="9525">
          <a:noFill/>
        </a:ln>
      </xdr:spPr>
    </xdr:pic>
  </etc:cellImage>
  <etc:cellImage>
    <xdr:pic>
      <xdr:nvPicPr>
        <xdr:cNvPr id="72" name="ID_0ECAAAE967F54880A707C0D29BB36BB4"/>
        <xdr:cNvPicPr>
          <a:picLocks noChangeAspect="1"/>
        </xdr:cNvPicPr>
      </xdr:nvPicPr>
      <xdr:blipFill>
        <a:blip r:embed="rId65"/>
        <a:stretch>
          <a:fillRect/>
        </a:stretch>
      </xdr:blipFill>
      <xdr:spPr>
        <a:xfrm>
          <a:off x="12761595" y="35457765"/>
          <a:ext cx="1291590" cy="1906270"/>
        </a:xfrm>
        <a:prstGeom prst="rect">
          <a:avLst/>
        </a:prstGeom>
        <a:noFill/>
        <a:ln w="9525">
          <a:noFill/>
        </a:ln>
      </xdr:spPr>
    </xdr:pic>
  </etc:cellImage>
  <etc:cellImage>
    <xdr:pic>
      <xdr:nvPicPr>
        <xdr:cNvPr id="73" name="ID_F9348C7145A14C949D53428687D6887F"/>
        <xdr:cNvPicPr>
          <a:picLocks noChangeAspect="1"/>
        </xdr:cNvPicPr>
      </xdr:nvPicPr>
      <xdr:blipFill>
        <a:blip r:embed="rId66"/>
        <a:stretch>
          <a:fillRect/>
        </a:stretch>
      </xdr:blipFill>
      <xdr:spPr>
        <a:xfrm>
          <a:off x="12426315" y="145474055"/>
          <a:ext cx="1964055" cy="2091690"/>
        </a:xfrm>
        <a:prstGeom prst="rect">
          <a:avLst/>
        </a:prstGeom>
        <a:noFill/>
        <a:ln w="9525">
          <a:noFill/>
        </a:ln>
      </xdr:spPr>
    </xdr:pic>
  </etc:cellImage>
  <etc:cellImage>
    <xdr:pic>
      <xdr:nvPicPr>
        <xdr:cNvPr id="74" name="ID_73D708F8098344989894D22F1B2853EF"/>
        <xdr:cNvPicPr>
          <a:picLocks noChangeAspect="1"/>
        </xdr:cNvPicPr>
      </xdr:nvPicPr>
      <xdr:blipFill>
        <a:blip r:embed="rId67"/>
        <a:stretch>
          <a:fillRect/>
        </a:stretch>
      </xdr:blipFill>
      <xdr:spPr>
        <a:xfrm>
          <a:off x="12696825" y="37608510"/>
          <a:ext cx="1330960" cy="1771015"/>
        </a:xfrm>
        <a:prstGeom prst="rect">
          <a:avLst/>
        </a:prstGeom>
        <a:noFill/>
        <a:ln w="9525">
          <a:noFill/>
        </a:ln>
      </xdr:spPr>
    </xdr:pic>
  </etc:cellImage>
  <etc:cellImage>
    <xdr:pic>
      <xdr:nvPicPr>
        <xdr:cNvPr id="75" name="ID_14AF5024E83A4530A1D09B893165596C" descr="6376756debf6489e956bd736341c1856.jpg (1920×1080)"/>
        <xdr:cNvPicPr>
          <a:picLocks noChangeAspect="1"/>
        </xdr:cNvPicPr>
      </xdr:nvPicPr>
      <xdr:blipFill>
        <a:blip r:embed="rId68"/>
        <a:srcRect l="32486" t="28690" r="20340"/>
        <a:stretch>
          <a:fillRect/>
        </a:stretch>
      </xdr:blipFill>
      <xdr:spPr>
        <a:xfrm>
          <a:off x="12369800" y="674462710"/>
          <a:ext cx="2077085" cy="2024380"/>
        </a:xfrm>
        <a:prstGeom prst="rect">
          <a:avLst/>
        </a:prstGeom>
        <a:noFill/>
        <a:ln w="9525">
          <a:noFill/>
        </a:ln>
      </xdr:spPr>
    </xdr:pic>
  </etc:cellImage>
  <etc:cellImage>
    <xdr:pic>
      <xdr:nvPicPr>
        <xdr:cNvPr id="76" name="ID_D3DF6BE9D4E94C8194EA43E19B0FFAFE"/>
        <xdr:cNvPicPr>
          <a:picLocks noChangeAspect="1"/>
        </xdr:cNvPicPr>
      </xdr:nvPicPr>
      <xdr:blipFill>
        <a:blip r:embed="rId69"/>
        <a:stretch>
          <a:fillRect/>
        </a:stretch>
      </xdr:blipFill>
      <xdr:spPr>
        <a:xfrm>
          <a:off x="12786360" y="39716710"/>
          <a:ext cx="1381125" cy="1788160"/>
        </a:xfrm>
        <a:prstGeom prst="rect">
          <a:avLst/>
        </a:prstGeom>
        <a:noFill/>
        <a:ln w="9525">
          <a:noFill/>
        </a:ln>
      </xdr:spPr>
    </xdr:pic>
  </etc:cellImage>
  <etc:cellImage>
    <xdr:pic>
      <xdr:nvPicPr>
        <xdr:cNvPr id="77" name="ID_F87E2260631947B285F6F975C445738E"/>
        <xdr:cNvPicPr>
          <a:picLocks noChangeAspect="1"/>
        </xdr:cNvPicPr>
      </xdr:nvPicPr>
      <xdr:blipFill>
        <a:blip r:embed="rId70"/>
        <a:stretch>
          <a:fillRect/>
        </a:stretch>
      </xdr:blipFill>
      <xdr:spPr>
        <a:xfrm>
          <a:off x="12499340" y="93641545"/>
          <a:ext cx="1820545" cy="2124710"/>
        </a:xfrm>
        <a:prstGeom prst="rect">
          <a:avLst/>
        </a:prstGeom>
        <a:noFill/>
        <a:ln w="9525">
          <a:noFill/>
        </a:ln>
      </xdr:spPr>
    </xdr:pic>
  </etc:cellImage>
  <etc:cellImage>
    <xdr:pic>
      <xdr:nvPicPr>
        <xdr:cNvPr id="78" name="ID_69A9CBCD9E4A4D989DBD75202CC7EA7F" descr="a69a8a94692f4dab907fd744946d4725.jpg (1338×1004)"/>
        <xdr:cNvPicPr>
          <a:picLocks noChangeAspect="1"/>
        </xdr:cNvPicPr>
      </xdr:nvPicPr>
      <xdr:blipFill>
        <a:blip r:embed="rId71"/>
        <a:srcRect r="30724"/>
        <a:stretch>
          <a:fillRect/>
        </a:stretch>
      </xdr:blipFill>
      <xdr:spPr>
        <a:xfrm>
          <a:off x="12557125" y="234018455"/>
          <a:ext cx="1681480" cy="2007235"/>
        </a:xfrm>
        <a:prstGeom prst="rect">
          <a:avLst/>
        </a:prstGeom>
        <a:noFill/>
        <a:ln w="9525">
          <a:noFill/>
        </a:ln>
      </xdr:spPr>
    </xdr:pic>
  </etc:cellImage>
  <etc:cellImage>
    <xdr:pic>
      <xdr:nvPicPr>
        <xdr:cNvPr id="79" name="ID_AF2AFB44F55C44349BEB77C95980E530"/>
        <xdr:cNvPicPr>
          <a:picLocks noChangeAspect="1"/>
        </xdr:cNvPicPr>
      </xdr:nvPicPr>
      <xdr:blipFill>
        <a:blip r:embed="rId72"/>
        <a:stretch>
          <a:fillRect/>
        </a:stretch>
      </xdr:blipFill>
      <xdr:spPr>
        <a:xfrm>
          <a:off x="12603480" y="41859200"/>
          <a:ext cx="1609725" cy="2049145"/>
        </a:xfrm>
        <a:prstGeom prst="rect">
          <a:avLst/>
        </a:prstGeom>
        <a:noFill/>
        <a:ln w="9525">
          <a:noFill/>
        </a:ln>
      </xdr:spPr>
    </xdr:pic>
  </etc:cellImage>
  <etc:cellImage>
    <xdr:pic>
      <xdr:nvPicPr>
        <xdr:cNvPr id="80" name="ID_3F7C864BF2004F4D93C7F83A197DFD0A"/>
        <xdr:cNvPicPr>
          <a:picLocks noChangeAspect="1"/>
        </xdr:cNvPicPr>
      </xdr:nvPicPr>
      <xdr:blipFill>
        <a:blip r:embed="rId73"/>
        <a:stretch>
          <a:fillRect/>
        </a:stretch>
      </xdr:blipFill>
      <xdr:spPr>
        <a:xfrm>
          <a:off x="12371705" y="147633055"/>
          <a:ext cx="2075180" cy="2091690"/>
        </a:xfrm>
        <a:prstGeom prst="rect">
          <a:avLst/>
        </a:prstGeom>
        <a:noFill/>
        <a:ln w="9525">
          <a:noFill/>
        </a:ln>
      </xdr:spPr>
    </xdr:pic>
  </etc:cellImage>
  <etc:cellImage>
    <xdr:pic>
      <xdr:nvPicPr>
        <xdr:cNvPr id="81" name="ID_543C25C3E23C4BF887634AD53B9FB061" descr="t04ef2dfe568729867c"/>
        <xdr:cNvPicPr>
          <a:picLocks noChangeAspect="1"/>
        </xdr:cNvPicPr>
      </xdr:nvPicPr>
      <xdr:blipFill>
        <a:blip r:embed="rId74"/>
        <a:stretch>
          <a:fillRect/>
        </a:stretch>
      </xdr:blipFill>
      <xdr:spPr>
        <a:xfrm>
          <a:off x="12384405" y="180001545"/>
          <a:ext cx="2045335" cy="2124710"/>
        </a:xfrm>
        <a:prstGeom prst="rect">
          <a:avLst/>
        </a:prstGeom>
        <a:noFill/>
        <a:ln w="9525">
          <a:noFill/>
        </a:ln>
      </xdr:spPr>
    </xdr:pic>
  </etc:cellImage>
  <etc:cellImage>
    <xdr:pic>
      <xdr:nvPicPr>
        <xdr:cNvPr id="82" name="ID_759DBF0CF0A647F3B4B549F79E2220D8" descr="牛腩整片图,牛腩长什么样子图,牛腩图片大全_大山谷图库"/>
        <xdr:cNvPicPr>
          <a:picLocks noChangeAspect="1"/>
        </xdr:cNvPicPr>
      </xdr:nvPicPr>
      <xdr:blipFill>
        <a:blip r:embed="rId75"/>
        <a:srcRect l="1694" r="1881" b="53081"/>
        <a:stretch>
          <a:fillRect/>
        </a:stretch>
      </xdr:blipFill>
      <xdr:spPr>
        <a:xfrm>
          <a:off x="12395200" y="128311910"/>
          <a:ext cx="2026285" cy="1863725"/>
        </a:xfrm>
        <a:prstGeom prst="rect">
          <a:avLst/>
        </a:prstGeom>
        <a:noFill/>
        <a:ln w="9525">
          <a:noFill/>
        </a:ln>
      </xdr:spPr>
    </xdr:pic>
  </etc:cellImage>
  <etc:cellImage>
    <xdr:pic>
      <xdr:nvPicPr>
        <xdr:cNvPr id="83" name="ID_530FAD2588404CC7B273CEE21F831DB1"/>
        <xdr:cNvPicPr>
          <a:picLocks noChangeAspect="1"/>
        </xdr:cNvPicPr>
      </xdr:nvPicPr>
      <xdr:blipFill>
        <a:blip r:embed="rId76"/>
        <a:stretch>
          <a:fillRect/>
        </a:stretch>
      </xdr:blipFill>
      <xdr:spPr>
        <a:xfrm>
          <a:off x="12746990" y="44068365"/>
          <a:ext cx="1043305" cy="2016125"/>
        </a:xfrm>
        <a:prstGeom prst="rect">
          <a:avLst/>
        </a:prstGeom>
        <a:noFill/>
        <a:ln w="9525">
          <a:noFill/>
        </a:ln>
      </xdr:spPr>
    </xdr:pic>
  </etc:cellImage>
  <etc:cellImage>
    <xdr:pic>
      <xdr:nvPicPr>
        <xdr:cNvPr id="84" name="ID_9C4650D0D7194889892A13E57A93082D" descr="仔姜"/>
        <xdr:cNvPicPr>
          <a:picLocks noChangeAspect="1"/>
        </xdr:cNvPicPr>
      </xdr:nvPicPr>
      <xdr:blipFill>
        <a:blip r:embed="rId77"/>
        <a:stretch>
          <a:fillRect/>
        </a:stretch>
      </xdr:blipFill>
      <xdr:spPr>
        <a:xfrm>
          <a:off x="12371705" y="1004764310"/>
          <a:ext cx="2072640" cy="2075180"/>
        </a:xfrm>
        <a:prstGeom prst="rect">
          <a:avLst/>
        </a:prstGeom>
        <a:noFill/>
        <a:ln w="9525">
          <a:noFill/>
        </a:ln>
      </xdr:spPr>
    </xdr:pic>
  </etc:cellImage>
  <etc:cellImage>
    <xdr:pic>
      <xdr:nvPicPr>
        <xdr:cNvPr id="85" name="ID_B891706BEFA0461DBEFE10EBDF93E413" descr="杏鲍菇"/>
        <xdr:cNvPicPr>
          <a:picLocks noChangeAspect="1"/>
        </xdr:cNvPicPr>
      </xdr:nvPicPr>
      <xdr:blipFill>
        <a:blip r:embed="rId78"/>
        <a:stretch>
          <a:fillRect/>
        </a:stretch>
      </xdr:blipFill>
      <xdr:spPr>
        <a:xfrm>
          <a:off x="12374245" y="1106279855"/>
          <a:ext cx="2066290" cy="1981835"/>
        </a:xfrm>
        <a:prstGeom prst="rect">
          <a:avLst/>
        </a:prstGeom>
        <a:noFill/>
        <a:ln w="9525">
          <a:noFill/>
        </a:ln>
      </xdr:spPr>
    </xdr:pic>
  </etc:cellImage>
  <etc:cellImage>
    <xdr:pic>
      <xdr:nvPicPr>
        <xdr:cNvPr id="86" name="ID_10793D2FC0684B328A8F1EF9D62F75FA" descr="IMG_5165"/>
        <xdr:cNvPicPr>
          <a:picLocks noChangeAspect="1"/>
        </xdr:cNvPicPr>
      </xdr:nvPicPr>
      <xdr:blipFill>
        <a:blip r:embed="rId79"/>
        <a:stretch>
          <a:fillRect/>
        </a:stretch>
      </xdr:blipFill>
      <xdr:spPr>
        <a:xfrm>
          <a:off x="12888595" y="46472475"/>
          <a:ext cx="1039495" cy="1466850"/>
        </a:xfrm>
        <a:prstGeom prst="rect">
          <a:avLst/>
        </a:prstGeom>
        <a:noFill/>
        <a:ln w="9525">
          <a:noFill/>
        </a:ln>
      </xdr:spPr>
    </xdr:pic>
  </etc:cellImage>
  <etc:cellImage>
    <xdr:pic>
      <xdr:nvPicPr>
        <xdr:cNvPr id="87" name="ID_F5B261BB74684BEAA900742FC0889293"/>
        <xdr:cNvPicPr>
          <a:picLocks noChangeAspect="1"/>
        </xdr:cNvPicPr>
      </xdr:nvPicPr>
      <xdr:blipFill>
        <a:blip r:embed="rId80"/>
        <a:stretch>
          <a:fillRect/>
        </a:stretch>
      </xdr:blipFill>
      <xdr:spPr>
        <a:xfrm>
          <a:off x="12390755" y="1056597455"/>
          <a:ext cx="2033270" cy="2032635"/>
        </a:xfrm>
        <a:prstGeom prst="rect">
          <a:avLst/>
        </a:prstGeom>
        <a:noFill/>
        <a:ln w="9525">
          <a:noFill/>
        </a:ln>
      </xdr:spPr>
    </xdr:pic>
  </etc:cellImage>
  <etc:cellImage>
    <xdr:pic>
      <xdr:nvPicPr>
        <xdr:cNvPr id="88" name="ID_9E19668F1F8F419DBB72DD4CF57DAB86" descr="IMG_5118"/>
        <xdr:cNvPicPr>
          <a:picLocks noChangeAspect="1"/>
        </xdr:cNvPicPr>
      </xdr:nvPicPr>
      <xdr:blipFill>
        <a:blip r:embed="rId81"/>
        <a:stretch>
          <a:fillRect/>
        </a:stretch>
      </xdr:blipFill>
      <xdr:spPr>
        <a:xfrm>
          <a:off x="12913360" y="48681640"/>
          <a:ext cx="989330" cy="1366520"/>
        </a:xfrm>
        <a:prstGeom prst="rect">
          <a:avLst/>
        </a:prstGeom>
        <a:noFill/>
        <a:ln w="9525">
          <a:noFill/>
        </a:ln>
      </xdr:spPr>
    </xdr:pic>
  </etc:cellImage>
  <etc:cellImage>
    <xdr:pic>
      <xdr:nvPicPr>
        <xdr:cNvPr id="89" name="ID_EA03C15823B948F194CF77AB6A0B5FCE"/>
        <xdr:cNvPicPr>
          <a:picLocks noChangeAspect="1"/>
        </xdr:cNvPicPr>
      </xdr:nvPicPr>
      <xdr:blipFill>
        <a:blip r:embed="rId82"/>
        <a:stretch>
          <a:fillRect/>
        </a:stretch>
      </xdr:blipFill>
      <xdr:spPr>
        <a:xfrm>
          <a:off x="12386310" y="98026855"/>
          <a:ext cx="2043430" cy="1981835"/>
        </a:xfrm>
        <a:prstGeom prst="rect">
          <a:avLst/>
        </a:prstGeom>
        <a:noFill/>
        <a:ln w="9525">
          <a:noFill/>
        </a:ln>
      </xdr:spPr>
    </xdr:pic>
  </etc:cellImage>
  <etc:cellImage>
    <xdr:pic>
      <xdr:nvPicPr>
        <xdr:cNvPr id="90" name="ID_93962351136247C299A66F2996AFC827" descr="6315ce0cfeaf4f0596bd814ec95dcadb.jpg (1920×1080)"/>
        <xdr:cNvPicPr>
          <a:picLocks noChangeAspect="1"/>
        </xdr:cNvPicPr>
      </xdr:nvPicPr>
      <xdr:blipFill>
        <a:blip r:embed="rId83"/>
        <a:srcRect l="19359" r="26456" b="2173"/>
        <a:stretch>
          <a:fillRect/>
        </a:stretch>
      </xdr:blipFill>
      <xdr:spPr>
        <a:xfrm>
          <a:off x="12423775" y="462872455"/>
          <a:ext cx="1968500" cy="2040890"/>
        </a:xfrm>
        <a:prstGeom prst="rect">
          <a:avLst/>
        </a:prstGeom>
        <a:noFill/>
        <a:ln w="9525">
          <a:noFill/>
        </a:ln>
      </xdr:spPr>
    </xdr:pic>
  </etc:cellImage>
  <etc:cellImage>
    <xdr:pic>
      <xdr:nvPicPr>
        <xdr:cNvPr id="91" name="ID_C1038D1250B543339F2DB4897D271616"/>
        <xdr:cNvPicPr>
          <a:picLocks noChangeAspect="1"/>
        </xdr:cNvPicPr>
      </xdr:nvPicPr>
      <xdr:blipFill>
        <a:blip r:embed="rId84"/>
        <a:stretch>
          <a:fillRect/>
        </a:stretch>
      </xdr:blipFill>
      <xdr:spPr>
        <a:xfrm>
          <a:off x="12499340" y="50511710"/>
          <a:ext cx="1818005" cy="2024380"/>
        </a:xfrm>
        <a:prstGeom prst="rect">
          <a:avLst/>
        </a:prstGeom>
        <a:noFill/>
        <a:ln w="9525">
          <a:noFill/>
        </a:ln>
      </xdr:spPr>
    </xdr:pic>
  </etc:cellImage>
  <etc:cellImage>
    <xdr:pic>
      <xdr:nvPicPr>
        <xdr:cNvPr id="92" name="ID_B51456AFFEBF4D8495DE3BD92AFF473B"/>
        <xdr:cNvPicPr>
          <a:picLocks noChangeAspect="1"/>
        </xdr:cNvPicPr>
      </xdr:nvPicPr>
      <xdr:blipFill>
        <a:blip r:embed="rId85"/>
        <a:stretch>
          <a:fillRect/>
        </a:stretch>
      </xdr:blipFill>
      <xdr:spPr>
        <a:xfrm>
          <a:off x="12397105" y="154135455"/>
          <a:ext cx="2022475" cy="2032635"/>
        </a:xfrm>
        <a:prstGeom prst="rect">
          <a:avLst/>
        </a:prstGeom>
        <a:noFill/>
        <a:ln w="9525">
          <a:noFill/>
        </a:ln>
      </xdr:spPr>
    </xdr:pic>
  </etc:cellImage>
  <etc:cellImage>
    <xdr:pic>
      <xdr:nvPicPr>
        <xdr:cNvPr id="93" name="ID_17864E0A83804D1B80BA087D9A65B250"/>
        <xdr:cNvPicPr>
          <a:picLocks noChangeAspect="1"/>
        </xdr:cNvPicPr>
      </xdr:nvPicPr>
      <xdr:blipFill>
        <a:blip r:embed="rId86"/>
        <a:stretch>
          <a:fillRect/>
        </a:stretch>
      </xdr:blipFill>
      <xdr:spPr>
        <a:xfrm>
          <a:off x="12623800" y="52831365"/>
          <a:ext cx="1568450" cy="1703070"/>
        </a:xfrm>
        <a:prstGeom prst="rect">
          <a:avLst/>
        </a:prstGeom>
        <a:noFill/>
        <a:ln w="9525">
          <a:noFill/>
        </a:ln>
      </xdr:spPr>
    </xdr:pic>
  </etc:cellImage>
  <etc:cellImage>
    <xdr:pic>
      <xdr:nvPicPr>
        <xdr:cNvPr id="94" name="ID_F6A6C18B8AD54BF8A02B4979142BAF27" descr="f5225329f51347229eb9b3b4366b92da.jpg (1080×1920)"/>
        <xdr:cNvPicPr>
          <a:picLocks noChangeAspect="1"/>
        </xdr:cNvPicPr>
      </xdr:nvPicPr>
      <xdr:blipFill>
        <a:blip r:embed="rId87"/>
        <a:srcRect l="4579" t="47557" r="21265" b="3708"/>
        <a:stretch>
          <a:fillRect/>
        </a:stretch>
      </xdr:blipFill>
      <xdr:spPr>
        <a:xfrm>
          <a:off x="12371705" y="102302310"/>
          <a:ext cx="2072640" cy="2066290"/>
        </a:xfrm>
        <a:prstGeom prst="rect">
          <a:avLst/>
        </a:prstGeom>
        <a:noFill/>
        <a:ln w="9525">
          <a:noFill/>
        </a:ln>
      </xdr:spPr>
    </xdr:pic>
  </etc:cellImage>
  <etc:cellImage>
    <xdr:pic>
      <xdr:nvPicPr>
        <xdr:cNvPr id="95" name="ID_2279395962A246F7825F17CB773BAD06"/>
        <xdr:cNvPicPr>
          <a:picLocks noChangeAspect="1"/>
        </xdr:cNvPicPr>
      </xdr:nvPicPr>
      <xdr:blipFill>
        <a:blip r:embed="rId88"/>
        <a:srcRect l="13054" t="7846" r="9605" b="9668"/>
        <a:stretch>
          <a:fillRect/>
        </a:stretch>
      </xdr:blipFill>
      <xdr:spPr>
        <a:xfrm>
          <a:off x="12551410" y="54813200"/>
          <a:ext cx="1716405" cy="2057400"/>
        </a:xfrm>
        <a:prstGeom prst="rect">
          <a:avLst/>
        </a:prstGeom>
        <a:noFill/>
        <a:ln w="9525">
          <a:noFill/>
        </a:ln>
      </xdr:spPr>
    </xdr:pic>
  </etc:cellImage>
  <etc:cellImage>
    <xdr:pic>
      <xdr:nvPicPr>
        <xdr:cNvPr id="96" name="ID_859EE918E1A44A95887FE98367BCD4C2" descr="毛芋头"/>
        <xdr:cNvPicPr>
          <a:picLocks noChangeAspect="1"/>
        </xdr:cNvPicPr>
      </xdr:nvPicPr>
      <xdr:blipFill>
        <a:blip r:embed="rId89"/>
        <a:stretch>
          <a:fillRect/>
        </a:stretch>
      </xdr:blipFill>
      <xdr:spPr>
        <a:xfrm>
          <a:off x="12357735" y="1117049455"/>
          <a:ext cx="2099310" cy="2040890"/>
        </a:xfrm>
        <a:prstGeom prst="rect">
          <a:avLst/>
        </a:prstGeom>
        <a:noFill/>
        <a:ln w="9525">
          <a:noFill/>
        </a:ln>
      </xdr:spPr>
    </xdr:pic>
  </etc:cellImage>
  <etc:cellImage>
    <xdr:pic>
      <xdr:nvPicPr>
        <xdr:cNvPr id="97" name="ID_5F76E615FFF44B878B43EAD2996DA48F"/>
        <xdr:cNvPicPr>
          <a:picLocks noChangeAspect="1"/>
        </xdr:cNvPicPr>
      </xdr:nvPicPr>
      <xdr:blipFill>
        <a:blip r:embed="rId90"/>
        <a:stretch>
          <a:fillRect/>
        </a:stretch>
      </xdr:blipFill>
      <xdr:spPr>
        <a:xfrm>
          <a:off x="12584430" y="56972200"/>
          <a:ext cx="1647825" cy="2049145"/>
        </a:xfrm>
        <a:prstGeom prst="rect">
          <a:avLst/>
        </a:prstGeom>
        <a:noFill/>
        <a:ln w="9525">
          <a:noFill/>
        </a:ln>
      </xdr:spPr>
    </xdr:pic>
  </etc:cellImage>
  <etc:cellImage>
    <xdr:pic>
      <xdr:nvPicPr>
        <xdr:cNvPr id="98" name="ID_44D1FAC894FD41E3B150A2075FBCD118" descr="5311935acaf719ea84dbe819ab26b98"/>
        <xdr:cNvPicPr>
          <a:picLocks noChangeAspect="1"/>
        </xdr:cNvPicPr>
      </xdr:nvPicPr>
      <xdr:blipFill>
        <a:blip r:embed="rId91"/>
        <a:stretch>
          <a:fillRect/>
        </a:stretch>
      </xdr:blipFill>
      <xdr:spPr>
        <a:xfrm rot="5400000">
          <a:off x="12414885" y="108717080"/>
          <a:ext cx="1981835" cy="2072640"/>
        </a:xfrm>
        <a:prstGeom prst="rect">
          <a:avLst/>
        </a:prstGeom>
        <a:noFill/>
        <a:ln w="9525">
          <a:noFill/>
        </a:ln>
      </xdr:spPr>
    </xdr:pic>
  </etc:cellImage>
  <etc:cellImage>
    <xdr:pic>
      <xdr:nvPicPr>
        <xdr:cNvPr id="99" name="ID_E0B7C5501F20468681559BCAF74ACB44" descr="龙骨"/>
        <xdr:cNvPicPr>
          <a:picLocks noChangeAspect="1"/>
        </xdr:cNvPicPr>
      </xdr:nvPicPr>
      <xdr:blipFill>
        <a:blip r:embed="rId92"/>
        <a:stretch>
          <a:fillRect/>
        </a:stretch>
      </xdr:blipFill>
      <xdr:spPr>
        <a:xfrm>
          <a:off x="12376150" y="59156600"/>
          <a:ext cx="2064385" cy="2006600"/>
        </a:xfrm>
        <a:prstGeom prst="rect">
          <a:avLst/>
        </a:prstGeom>
        <a:noFill/>
        <a:ln w="9525">
          <a:noFill/>
        </a:ln>
      </xdr:spPr>
    </xdr:pic>
  </etc:cellImage>
  <etc:cellImage>
    <xdr:pic>
      <xdr:nvPicPr>
        <xdr:cNvPr id="100" name="ID_7BF5EB0D1E7944A089C07FD12BBF377D" descr="cbf082ef919248b6b2eed09feb7db4b8.jpg (1920×1080)"/>
        <xdr:cNvPicPr>
          <a:picLocks noChangeAspect="1"/>
        </xdr:cNvPicPr>
      </xdr:nvPicPr>
      <xdr:blipFill>
        <a:blip r:embed="rId93"/>
        <a:srcRect r="47806"/>
        <a:stretch>
          <a:fillRect/>
        </a:stretch>
      </xdr:blipFill>
      <xdr:spPr>
        <a:xfrm>
          <a:off x="12378055" y="572956055"/>
          <a:ext cx="2060575" cy="2083435"/>
        </a:xfrm>
        <a:prstGeom prst="rect">
          <a:avLst/>
        </a:prstGeom>
        <a:noFill/>
        <a:ln w="9525">
          <a:noFill/>
        </a:ln>
      </xdr:spPr>
    </xdr:pic>
  </etc:cellImage>
  <etc:cellImage>
    <xdr:pic>
      <xdr:nvPicPr>
        <xdr:cNvPr id="101" name="ID_75B257030DCD442DA316E7ECF0F15CA8" descr="钳鱼"/>
        <xdr:cNvPicPr>
          <a:picLocks noChangeAspect="1"/>
        </xdr:cNvPicPr>
      </xdr:nvPicPr>
      <xdr:blipFill>
        <a:blip r:embed="rId94"/>
        <a:stretch>
          <a:fillRect/>
        </a:stretch>
      </xdr:blipFill>
      <xdr:spPr>
        <a:xfrm>
          <a:off x="12355195" y="216746455"/>
          <a:ext cx="2106295" cy="2040890"/>
        </a:xfrm>
        <a:prstGeom prst="rect">
          <a:avLst/>
        </a:prstGeom>
        <a:noFill/>
        <a:ln w="9525">
          <a:noFill/>
        </a:ln>
      </xdr:spPr>
    </xdr:pic>
  </etc:cellImage>
  <etc:cellImage>
    <xdr:pic>
      <xdr:nvPicPr>
        <xdr:cNvPr id="102" name="ID_51147FE1578646A9A2428B2955173409"/>
        <xdr:cNvPicPr>
          <a:picLocks noChangeAspect="1"/>
        </xdr:cNvPicPr>
      </xdr:nvPicPr>
      <xdr:blipFill>
        <a:blip r:embed="rId95"/>
        <a:stretch>
          <a:fillRect/>
        </a:stretch>
      </xdr:blipFill>
      <xdr:spPr>
        <a:xfrm>
          <a:off x="12361545" y="374353455"/>
          <a:ext cx="2091055" cy="2040890"/>
        </a:xfrm>
        <a:prstGeom prst="rect">
          <a:avLst/>
        </a:prstGeom>
        <a:noFill/>
        <a:ln w="9525">
          <a:noFill/>
        </a:ln>
      </xdr:spPr>
    </xdr:pic>
  </etc:cellImage>
  <etc:cellImage>
    <xdr:pic>
      <xdr:nvPicPr>
        <xdr:cNvPr id="103" name="ID_63683EF24AA94B3A9CCD2C98C6A18847"/>
        <xdr:cNvPicPr>
          <a:picLocks noChangeAspect="1"/>
        </xdr:cNvPicPr>
      </xdr:nvPicPr>
      <xdr:blipFill>
        <a:blip r:embed="rId96"/>
        <a:srcRect l="10040" r="10022" b="12689"/>
        <a:stretch>
          <a:fillRect/>
        </a:stretch>
      </xdr:blipFill>
      <xdr:spPr>
        <a:xfrm>
          <a:off x="12409805" y="473659200"/>
          <a:ext cx="1995170" cy="2049145"/>
        </a:xfrm>
        <a:prstGeom prst="rect">
          <a:avLst/>
        </a:prstGeom>
        <a:noFill/>
        <a:ln w="9525">
          <a:noFill/>
        </a:ln>
      </xdr:spPr>
    </xdr:pic>
  </etc:cellImage>
  <etc:cellImage>
    <xdr:pic>
      <xdr:nvPicPr>
        <xdr:cNvPr id="104" name="ID_11D1E12034494505AD251BF349F1818E"/>
        <xdr:cNvPicPr>
          <a:picLocks noChangeAspect="1"/>
        </xdr:cNvPicPr>
      </xdr:nvPicPr>
      <xdr:blipFill>
        <a:blip r:embed="rId97"/>
        <a:stretch>
          <a:fillRect/>
        </a:stretch>
      </xdr:blipFill>
      <xdr:spPr>
        <a:xfrm>
          <a:off x="12367895" y="214840185"/>
          <a:ext cx="2078990" cy="1535430"/>
        </a:xfrm>
        <a:prstGeom prst="rect">
          <a:avLst/>
        </a:prstGeom>
        <a:noFill/>
        <a:ln w="9525">
          <a:noFill/>
        </a:ln>
      </xdr:spPr>
    </xdr:pic>
  </etc:cellImage>
  <etc:cellImage>
    <xdr:pic>
      <xdr:nvPicPr>
        <xdr:cNvPr id="105" name="ID_CF9E1C813DFF49E7BA5E0E3EE79BE8CF"/>
        <xdr:cNvPicPr>
          <a:picLocks noChangeAspect="1"/>
        </xdr:cNvPicPr>
      </xdr:nvPicPr>
      <xdr:blipFill>
        <a:blip r:embed="rId98"/>
        <a:stretch>
          <a:fillRect/>
        </a:stretch>
      </xdr:blipFill>
      <xdr:spPr>
        <a:xfrm>
          <a:off x="12363450" y="320386710"/>
          <a:ext cx="2089150" cy="2015490"/>
        </a:xfrm>
        <a:prstGeom prst="rect">
          <a:avLst/>
        </a:prstGeom>
        <a:noFill/>
        <a:ln w="9525">
          <a:noFill/>
        </a:ln>
      </xdr:spPr>
    </xdr:pic>
  </etc:cellImage>
  <etc:cellImage>
    <xdr:pic>
      <xdr:nvPicPr>
        <xdr:cNvPr id="106" name="ID_4AFA7B12C4CD42E18C15313EEB98D26C"/>
        <xdr:cNvPicPr>
          <a:picLocks noChangeAspect="1"/>
        </xdr:cNvPicPr>
      </xdr:nvPicPr>
      <xdr:blipFill>
        <a:blip r:embed="rId99"/>
        <a:stretch>
          <a:fillRect/>
        </a:stretch>
      </xdr:blipFill>
      <xdr:spPr>
        <a:xfrm>
          <a:off x="12338685" y="1160170400"/>
          <a:ext cx="2099945" cy="2117090"/>
        </a:xfrm>
        <a:prstGeom prst="rect">
          <a:avLst/>
        </a:prstGeom>
        <a:noFill/>
        <a:ln w="9525">
          <a:noFill/>
        </a:ln>
      </xdr:spPr>
    </xdr:pic>
  </etc:cellImage>
  <etc:cellImage>
    <xdr:pic>
      <xdr:nvPicPr>
        <xdr:cNvPr id="107" name="ID_6541641DE468457897F81568DFE719CE" descr="筒子骨带肉"/>
        <xdr:cNvPicPr>
          <a:picLocks noChangeAspect="1"/>
        </xdr:cNvPicPr>
      </xdr:nvPicPr>
      <xdr:blipFill>
        <a:blip r:embed="rId100"/>
        <a:stretch>
          <a:fillRect/>
        </a:stretch>
      </xdr:blipFill>
      <xdr:spPr>
        <a:xfrm>
          <a:off x="12384405" y="61323855"/>
          <a:ext cx="2047875" cy="1990090"/>
        </a:xfrm>
        <a:prstGeom prst="rect">
          <a:avLst/>
        </a:prstGeom>
        <a:noFill/>
        <a:ln w="9525">
          <a:noFill/>
        </a:ln>
      </xdr:spPr>
    </xdr:pic>
  </etc:cellImage>
  <etc:cellImage>
    <xdr:pic>
      <xdr:nvPicPr>
        <xdr:cNvPr id="108" name="ID_43327C3A37BA40E2B759881AFAE73733"/>
        <xdr:cNvPicPr>
          <a:picLocks noChangeAspect="1"/>
        </xdr:cNvPicPr>
      </xdr:nvPicPr>
      <xdr:blipFill>
        <a:blip r:embed="rId101"/>
        <a:stretch>
          <a:fillRect/>
        </a:stretch>
      </xdr:blipFill>
      <xdr:spPr>
        <a:xfrm>
          <a:off x="12363450" y="156269055"/>
          <a:ext cx="2089150" cy="2091690"/>
        </a:xfrm>
        <a:prstGeom prst="rect">
          <a:avLst/>
        </a:prstGeom>
        <a:noFill/>
        <a:ln w="9525">
          <a:noFill/>
        </a:ln>
      </xdr:spPr>
    </xdr:pic>
  </etc:cellImage>
  <etc:cellImage>
    <xdr:pic>
      <xdr:nvPicPr>
        <xdr:cNvPr id="109" name="ID_08F52FC3CE424DE88438C60DEB5C545C"/>
        <xdr:cNvPicPr>
          <a:picLocks noChangeAspect="1"/>
        </xdr:cNvPicPr>
      </xdr:nvPicPr>
      <xdr:blipFill>
        <a:blip r:embed="rId102"/>
        <a:srcRect l="49644" t="13773" r="4468" b="22147"/>
        <a:stretch>
          <a:fillRect/>
        </a:stretch>
      </xdr:blipFill>
      <xdr:spPr>
        <a:xfrm>
          <a:off x="12684760" y="266454255"/>
          <a:ext cx="1449705" cy="1931035"/>
        </a:xfrm>
        <a:prstGeom prst="rect">
          <a:avLst/>
        </a:prstGeom>
        <a:noFill/>
        <a:ln w="9525">
          <a:noFill/>
        </a:ln>
      </xdr:spPr>
    </xdr:pic>
  </etc:cellImage>
  <etc:cellImage>
    <xdr:pic>
      <xdr:nvPicPr>
        <xdr:cNvPr id="110" name="ID_9A34C04F178740A19DD3B65C68DAD7CF" descr="6a291563df41801194c6f51a61715e3"/>
        <xdr:cNvPicPr>
          <a:picLocks noChangeAspect="1"/>
        </xdr:cNvPicPr>
      </xdr:nvPicPr>
      <xdr:blipFill>
        <a:blip r:embed="rId103"/>
        <a:stretch>
          <a:fillRect/>
        </a:stretch>
      </xdr:blipFill>
      <xdr:spPr>
        <a:xfrm>
          <a:off x="12672060" y="63491110"/>
          <a:ext cx="1470660" cy="1973580"/>
        </a:xfrm>
        <a:prstGeom prst="rect">
          <a:avLst/>
        </a:prstGeom>
        <a:noFill/>
        <a:ln w="9525">
          <a:noFill/>
        </a:ln>
      </xdr:spPr>
    </xdr:pic>
  </etc:cellImage>
  <etc:cellImage>
    <xdr:pic>
      <xdr:nvPicPr>
        <xdr:cNvPr id="111" name="ID_4621C66FEFC84544B327D7C1499022E2" descr="8aab5efe40a54ac2f56ac2f675f6f48"/>
        <xdr:cNvPicPr>
          <a:picLocks noChangeAspect="1"/>
        </xdr:cNvPicPr>
      </xdr:nvPicPr>
      <xdr:blipFill>
        <a:blip r:embed="rId104"/>
        <a:stretch>
          <a:fillRect/>
        </a:stretch>
      </xdr:blipFill>
      <xdr:spPr>
        <a:xfrm>
          <a:off x="12423775" y="68045330"/>
          <a:ext cx="1910715" cy="1577340"/>
        </a:xfrm>
        <a:prstGeom prst="rect">
          <a:avLst/>
        </a:prstGeom>
        <a:noFill/>
        <a:ln w="9525">
          <a:noFill/>
        </a:ln>
      </xdr:spPr>
    </xdr:pic>
  </etc:cellImage>
  <etc:cellImage>
    <xdr:pic>
      <xdr:nvPicPr>
        <xdr:cNvPr id="112" name="ID_B568712FCD3C43D5B4DE6813C84D74F8" descr="8924010541be810642a5f1da639c73a"/>
        <xdr:cNvPicPr>
          <a:picLocks noChangeAspect="1"/>
        </xdr:cNvPicPr>
      </xdr:nvPicPr>
      <xdr:blipFill>
        <a:blip r:embed="rId105"/>
        <a:stretch>
          <a:fillRect/>
        </a:stretch>
      </xdr:blipFill>
      <xdr:spPr>
        <a:xfrm>
          <a:off x="12659360" y="72110600"/>
          <a:ext cx="1497965" cy="2006600"/>
        </a:xfrm>
        <a:prstGeom prst="rect">
          <a:avLst/>
        </a:prstGeom>
        <a:noFill/>
        <a:ln w="9525">
          <a:noFill/>
        </a:ln>
      </xdr:spPr>
    </xdr:pic>
  </etc:cellImage>
  <etc:cellImage>
    <xdr:pic>
      <xdr:nvPicPr>
        <xdr:cNvPr id="113" name="ID_CD176E2D38684A10A38CB0DE9869E2B2" descr="b6e9e0997163436bbdb9d7b72d844d27.jpg (1280×960)"/>
        <xdr:cNvPicPr>
          <a:picLocks noChangeAspect="1"/>
        </xdr:cNvPicPr>
      </xdr:nvPicPr>
      <xdr:blipFill>
        <a:blip r:embed="rId106"/>
        <a:stretch>
          <a:fillRect/>
        </a:stretch>
      </xdr:blipFill>
      <xdr:spPr>
        <a:xfrm>
          <a:off x="12390755" y="1201275855"/>
          <a:ext cx="2033270" cy="1990090"/>
        </a:xfrm>
        <a:prstGeom prst="rect">
          <a:avLst/>
        </a:prstGeom>
        <a:noFill/>
        <a:ln w="9525">
          <a:noFill/>
        </a:ln>
      </xdr:spPr>
    </xdr:pic>
  </etc:cellImage>
  <etc:cellImage>
    <xdr:pic>
      <xdr:nvPicPr>
        <xdr:cNvPr id="114" name="ID_793FFCF79A7C43B580F2B16D40DD70FF" descr="生肥肠"/>
        <xdr:cNvPicPr>
          <a:picLocks noChangeAspect="1"/>
        </xdr:cNvPicPr>
      </xdr:nvPicPr>
      <xdr:blipFill>
        <a:blip r:embed="rId107"/>
        <a:stretch>
          <a:fillRect/>
        </a:stretch>
      </xdr:blipFill>
      <xdr:spPr>
        <a:xfrm>
          <a:off x="12392660" y="76419710"/>
          <a:ext cx="2031365" cy="2024380"/>
        </a:xfrm>
        <a:prstGeom prst="rect">
          <a:avLst/>
        </a:prstGeom>
        <a:noFill/>
        <a:ln w="9525">
          <a:noFill/>
        </a:ln>
      </xdr:spPr>
    </xdr:pic>
  </etc:cellImage>
  <etc:cellImage>
    <xdr:pic>
      <xdr:nvPicPr>
        <xdr:cNvPr id="115" name="ID_4DA952F64FFD43378D837C1061EC9652" descr="盐蛋"/>
        <xdr:cNvPicPr>
          <a:picLocks noChangeAspect="1"/>
        </xdr:cNvPicPr>
      </xdr:nvPicPr>
      <xdr:blipFill>
        <a:blip r:embed="rId108"/>
        <a:stretch>
          <a:fillRect/>
        </a:stretch>
      </xdr:blipFill>
      <xdr:spPr>
        <a:xfrm>
          <a:off x="12390755" y="197307200"/>
          <a:ext cx="2033270" cy="2057400"/>
        </a:xfrm>
        <a:prstGeom prst="rect">
          <a:avLst/>
        </a:prstGeom>
        <a:noFill/>
        <a:ln w="9525">
          <a:noFill/>
        </a:ln>
      </xdr:spPr>
    </xdr:pic>
  </etc:cellImage>
  <etc:cellImage>
    <xdr:pic>
      <xdr:nvPicPr>
        <xdr:cNvPr id="116" name="ID_561932EC709A4A8688BCE4E3D89B88F9"/>
        <xdr:cNvPicPr>
          <a:picLocks noChangeAspect="1"/>
        </xdr:cNvPicPr>
      </xdr:nvPicPr>
      <xdr:blipFill>
        <a:blip r:embed="rId109"/>
        <a:srcRect b="13510"/>
        <a:stretch>
          <a:fillRect/>
        </a:stretch>
      </xdr:blipFill>
      <xdr:spPr>
        <a:xfrm>
          <a:off x="12378055" y="1203417710"/>
          <a:ext cx="2060575" cy="2024380"/>
        </a:xfrm>
        <a:prstGeom prst="rect">
          <a:avLst/>
        </a:prstGeom>
        <a:noFill/>
        <a:ln w="9525">
          <a:noFill/>
        </a:ln>
      </xdr:spPr>
    </xdr:pic>
  </etc:cellImage>
  <etc:cellImage>
    <xdr:pic>
      <xdr:nvPicPr>
        <xdr:cNvPr id="117" name="ID_F4EB2D412D964F18B1CE81244BF1B8BE" descr="板油"/>
        <xdr:cNvPicPr>
          <a:picLocks noChangeAspect="1"/>
        </xdr:cNvPicPr>
      </xdr:nvPicPr>
      <xdr:blipFill>
        <a:blip r:embed="rId110"/>
        <a:stretch>
          <a:fillRect/>
        </a:stretch>
      </xdr:blipFill>
      <xdr:spPr>
        <a:xfrm>
          <a:off x="12380595" y="78578710"/>
          <a:ext cx="2058035" cy="2024380"/>
        </a:xfrm>
        <a:prstGeom prst="rect">
          <a:avLst/>
        </a:prstGeom>
        <a:noFill/>
        <a:ln w="9525">
          <a:noFill/>
        </a:ln>
      </xdr:spPr>
    </xdr:pic>
  </etc:cellImage>
  <etc:cellImage>
    <xdr:pic>
      <xdr:nvPicPr>
        <xdr:cNvPr id="118" name="ID_78BBF225B13A4DC0880ECE74B459074C"/>
        <xdr:cNvPicPr>
          <a:picLocks noChangeAspect="1"/>
        </xdr:cNvPicPr>
      </xdr:nvPicPr>
      <xdr:blipFill>
        <a:blip r:embed="rId111"/>
        <a:stretch>
          <a:fillRect/>
        </a:stretch>
      </xdr:blipFill>
      <xdr:spPr>
        <a:xfrm>
          <a:off x="12405360" y="82896710"/>
          <a:ext cx="2005965" cy="2015490"/>
        </a:xfrm>
        <a:prstGeom prst="rect">
          <a:avLst/>
        </a:prstGeom>
        <a:noFill/>
        <a:ln w="9525">
          <a:noFill/>
        </a:ln>
      </xdr:spPr>
    </xdr:pic>
  </etc:cellImage>
  <etc:cellImage>
    <xdr:pic>
      <xdr:nvPicPr>
        <xdr:cNvPr id="120" name="ID_F734C0BAC37240D9952C0250353C743D" descr="猪肝"/>
        <xdr:cNvPicPr>
          <a:picLocks noChangeAspect="1"/>
        </xdr:cNvPicPr>
      </xdr:nvPicPr>
      <xdr:blipFill>
        <a:blip r:embed="rId112"/>
        <a:stretch>
          <a:fillRect/>
        </a:stretch>
      </xdr:blipFill>
      <xdr:spPr>
        <a:xfrm>
          <a:off x="12384405" y="89365455"/>
          <a:ext cx="2045335" cy="2032635"/>
        </a:xfrm>
        <a:prstGeom prst="rect">
          <a:avLst/>
        </a:prstGeom>
        <a:noFill/>
        <a:ln w="9525">
          <a:noFill/>
        </a:ln>
      </xdr:spPr>
    </xdr:pic>
  </etc:cellImage>
  <etc:cellImage>
    <xdr:pic>
      <xdr:nvPicPr>
        <xdr:cNvPr id="121" name="ID_F25F3D6F3B284007A232646D00CF3B26" descr="猪心"/>
        <xdr:cNvPicPr>
          <a:picLocks noChangeAspect="1"/>
        </xdr:cNvPicPr>
      </xdr:nvPicPr>
      <xdr:blipFill>
        <a:blip r:embed="rId113"/>
        <a:stretch>
          <a:fillRect/>
        </a:stretch>
      </xdr:blipFill>
      <xdr:spPr>
        <a:xfrm>
          <a:off x="12384405" y="91532710"/>
          <a:ext cx="2047875" cy="2024380"/>
        </a:xfrm>
        <a:prstGeom prst="rect">
          <a:avLst/>
        </a:prstGeom>
        <a:noFill/>
        <a:ln w="9525">
          <a:noFill/>
        </a:ln>
      </xdr:spPr>
    </xdr:pic>
  </etc:cellImage>
  <etc:cellImage>
    <xdr:pic>
      <xdr:nvPicPr>
        <xdr:cNvPr id="122" name="ID_41787003812B45908EA4625BAEC430B4"/>
        <xdr:cNvPicPr>
          <a:picLocks noChangeAspect="1"/>
        </xdr:cNvPicPr>
      </xdr:nvPicPr>
      <xdr:blipFill>
        <a:blip r:embed="rId114"/>
        <a:srcRect b="8478"/>
        <a:stretch>
          <a:fillRect/>
        </a:stretch>
      </xdr:blipFill>
      <xdr:spPr>
        <a:xfrm>
          <a:off x="12367895" y="177859055"/>
          <a:ext cx="2080895" cy="2083435"/>
        </a:xfrm>
        <a:prstGeom prst="rect">
          <a:avLst/>
        </a:prstGeom>
        <a:noFill/>
        <a:ln w="9525">
          <a:noFill/>
        </a:ln>
      </xdr:spPr>
    </xdr:pic>
  </etc:cellImage>
  <etc:cellImage>
    <xdr:pic>
      <xdr:nvPicPr>
        <xdr:cNvPr id="123" name="ID_448555676F154E7CB394460F0234CF6C"/>
        <xdr:cNvPicPr>
          <a:picLocks noChangeAspect="1"/>
        </xdr:cNvPicPr>
      </xdr:nvPicPr>
      <xdr:blipFill>
        <a:blip r:embed="rId115"/>
        <a:stretch>
          <a:fillRect/>
        </a:stretch>
      </xdr:blipFill>
      <xdr:spPr>
        <a:xfrm>
          <a:off x="12355195" y="281778075"/>
          <a:ext cx="2106295" cy="1517650"/>
        </a:xfrm>
        <a:prstGeom prst="rect">
          <a:avLst/>
        </a:prstGeom>
        <a:noFill/>
        <a:ln w="9525">
          <a:noFill/>
        </a:ln>
      </xdr:spPr>
    </xdr:pic>
  </etc:cellImage>
  <etc:cellImage>
    <xdr:pic>
      <xdr:nvPicPr>
        <xdr:cNvPr id="124" name="ID_C3EB978CBF6A441790CAC7B4C22704FF"/>
        <xdr:cNvPicPr>
          <a:picLocks noChangeAspect="1"/>
        </xdr:cNvPicPr>
      </xdr:nvPicPr>
      <xdr:blipFill>
        <a:blip r:embed="rId116"/>
        <a:stretch>
          <a:fillRect/>
        </a:stretch>
      </xdr:blipFill>
      <xdr:spPr>
        <a:xfrm>
          <a:off x="12361545" y="95901510"/>
          <a:ext cx="2093595" cy="1922780"/>
        </a:xfrm>
        <a:prstGeom prst="rect">
          <a:avLst/>
        </a:prstGeom>
        <a:noFill/>
        <a:ln w="9525">
          <a:noFill/>
        </a:ln>
      </xdr:spPr>
    </xdr:pic>
  </etc:cellImage>
  <etc:cellImage>
    <xdr:pic>
      <xdr:nvPicPr>
        <xdr:cNvPr id="125" name="ID_D13EAA8A6E65467FB96BBD78F21EEDFC"/>
        <xdr:cNvPicPr>
          <a:picLocks noChangeAspect="1"/>
        </xdr:cNvPicPr>
      </xdr:nvPicPr>
      <xdr:blipFill>
        <a:blip r:embed="rId117"/>
        <a:stretch>
          <a:fillRect/>
        </a:stretch>
      </xdr:blipFill>
      <xdr:spPr>
        <a:xfrm>
          <a:off x="12407265" y="100160455"/>
          <a:ext cx="2002155" cy="2032635"/>
        </a:xfrm>
        <a:prstGeom prst="rect">
          <a:avLst/>
        </a:prstGeom>
        <a:noFill/>
        <a:ln w="9525">
          <a:noFill/>
        </a:ln>
      </xdr:spPr>
    </xdr:pic>
  </etc:cellImage>
  <etc:cellImage>
    <xdr:pic>
      <xdr:nvPicPr>
        <xdr:cNvPr id="126" name="ID_F362F109F4B44ACC99962383B1691A9A"/>
        <xdr:cNvPicPr>
          <a:picLocks noChangeAspect="1"/>
        </xdr:cNvPicPr>
      </xdr:nvPicPr>
      <xdr:blipFill>
        <a:blip r:embed="rId118"/>
        <a:stretch>
          <a:fillRect/>
        </a:stretch>
      </xdr:blipFill>
      <xdr:spPr>
        <a:xfrm>
          <a:off x="12340590" y="104419400"/>
          <a:ext cx="2116455" cy="2133600"/>
        </a:xfrm>
        <a:prstGeom prst="rect">
          <a:avLst/>
        </a:prstGeom>
        <a:noFill/>
        <a:ln w="9525">
          <a:noFill/>
        </a:ln>
      </xdr:spPr>
    </xdr:pic>
  </etc:cellImage>
  <etc:cellImage>
    <xdr:pic>
      <xdr:nvPicPr>
        <xdr:cNvPr id="127" name="ID_C8FAEA9F815D4BACBD5864E952265D11"/>
        <xdr:cNvPicPr>
          <a:picLocks noChangeAspect="1"/>
        </xdr:cNvPicPr>
      </xdr:nvPicPr>
      <xdr:blipFill>
        <a:blip r:embed="rId119"/>
        <a:srcRect b="5896"/>
        <a:stretch>
          <a:fillRect/>
        </a:stretch>
      </xdr:blipFill>
      <xdr:spPr>
        <a:xfrm>
          <a:off x="12371705" y="1233627200"/>
          <a:ext cx="2072640" cy="2057400"/>
        </a:xfrm>
        <a:prstGeom prst="rect">
          <a:avLst/>
        </a:prstGeom>
        <a:noFill/>
        <a:ln w="9525">
          <a:noFill/>
        </a:ln>
      </xdr:spPr>
    </xdr:pic>
  </etc:cellImage>
  <etc:cellImage>
    <xdr:pic>
      <xdr:nvPicPr>
        <xdr:cNvPr id="128" name="ID_0E67AD0CA9D3409EB53DB3E44EA7BDAC" descr="7cd65830519942abb5564a8f50de22db.jpg (828×1104)"/>
        <xdr:cNvPicPr>
          <a:picLocks noChangeAspect="1"/>
        </xdr:cNvPicPr>
      </xdr:nvPicPr>
      <xdr:blipFill>
        <a:blip r:embed="rId120"/>
        <a:srcRect b="33818"/>
        <a:stretch>
          <a:fillRect/>
        </a:stretch>
      </xdr:blipFill>
      <xdr:spPr>
        <a:xfrm>
          <a:off x="12363450" y="106620310"/>
          <a:ext cx="2089150" cy="2075180"/>
        </a:xfrm>
        <a:prstGeom prst="rect">
          <a:avLst/>
        </a:prstGeom>
        <a:noFill/>
        <a:ln w="9525">
          <a:noFill/>
        </a:ln>
      </xdr:spPr>
    </xdr:pic>
  </etc:cellImage>
  <etc:cellImage>
    <xdr:pic>
      <xdr:nvPicPr>
        <xdr:cNvPr id="129" name="ID_38A0616FEF90460DA3CA9B1252667955" descr="五花肉"/>
        <xdr:cNvPicPr>
          <a:picLocks noChangeAspect="1"/>
        </xdr:cNvPicPr>
      </xdr:nvPicPr>
      <xdr:blipFill>
        <a:blip r:embed="rId121"/>
        <a:stretch>
          <a:fillRect/>
        </a:stretch>
      </xdr:blipFill>
      <xdr:spPr>
        <a:xfrm>
          <a:off x="12447270" y="111048165"/>
          <a:ext cx="1922145" cy="1855470"/>
        </a:xfrm>
        <a:prstGeom prst="rect">
          <a:avLst/>
        </a:prstGeom>
        <a:noFill/>
        <a:ln w="9525">
          <a:noFill/>
        </a:ln>
      </xdr:spPr>
    </xdr:pic>
  </etc:cellImage>
  <etc:cellImage>
    <xdr:pic>
      <xdr:nvPicPr>
        <xdr:cNvPr id="130" name="ID_CC28358AEAD04505B8F62634932167EB"/>
        <xdr:cNvPicPr>
          <a:picLocks noChangeAspect="1"/>
        </xdr:cNvPicPr>
      </xdr:nvPicPr>
      <xdr:blipFill>
        <a:blip r:embed="rId122"/>
        <a:stretch>
          <a:fillRect/>
        </a:stretch>
      </xdr:blipFill>
      <xdr:spPr>
        <a:xfrm>
          <a:off x="12415520" y="933492545"/>
          <a:ext cx="1985010" cy="2124710"/>
        </a:xfrm>
        <a:prstGeom prst="rect">
          <a:avLst/>
        </a:prstGeom>
        <a:noFill/>
        <a:ln w="9525">
          <a:noFill/>
        </a:ln>
      </xdr:spPr>
    </xdr:pic>
  </etc:cellImage>
  <etc:cellImage>
    <xdr:pic>
      <xdr:nvPicPr>
        <xdr:cNvPr id="131" name="ID_23B4DE0E414E41EB9EB2BC9491154449"/>
        <xdr:cNvPicPr>
          <a:picLocks noChangeAspect="1"/>
        </xdr:cNvPicPr>
      </xdr:nvPicPr>
      <xdr:blipFill>
        <a:blip r:embed="rId123"/>
        <a:srcRect t="13467" b="4945"/>
        <a:stretch>
          <a:fillRect/>
        </a:stretch>
      </xdr:blipFill>
      <xdr:spPr>
        <a:xfrm>
          <a:off x="12378055" y="268629765"/>
          <a:ext cx="2060575" cy="1898015"/>
        </a:xfrm>
        <a:prstGeom prst="rect">
          <a:avLst/>
        </a:prstGeom>
        <a:noFill/>
        <a:ln w="9525">
          <a:noFill/>
        </a:ln>
      </xdr:spPr>
    </xdr:pic>
  </etc:cellImage>
  <etc:cellImage>
    <xdr:pic>
      <xdr:nvPicPr>
        <xdr:cNvPr id="132" name="ID_64946FF001FE40B39425959A567938EE"/>
        <xdr:cNvPicPr>
          <a:picLocks noChangeAspect="1"/>
        </xdr:cNvPicPr>
      </xdr:nvPicPr>
      <xdr:blipFill>
        <a:blip r:embed="rId124"/>
        <a:stretch>
          <a:fillRect/>
        </a:stretch>
      </xdr:blipFill>
      <xdr:spPr>
        <a:xfrm>
          <a:off x="12395200" y="424010455"/>
          <a:ext cx="2028825" cy="2032635"/>
        </a:xfrm>
        <a:prstGeom prst="rect">
          <a:avLst/>
        </a:prstGeom>
        <a:noFill/>
        <a:ln w="9525">
          <a:noFill/>
        </a:ln>
      </xdr:spPr>
    </xdr:pic>
  </etc:cellImage>
  <etc:cellImage>
    <xdr:pic>
      <xdr:nvPicPr>
        <xdr:cNvPr id="133" name="ID_525782DAFD8F4B19BEB56027F254C093"/>
        <xdr:cNvPicPr>
          <a:picLocks noChangeAspect="1"/>
        </xdr:cNvPicPr>
      </xdr:nvPicPr>
      <xdr:blipFill>
        <a:blip r:embed="rId125"/>
        <a:stretch>
          <a:fillRect/>
        </a:stretch>
      </xdr:blipFill>
      <xdr:spPr>
        <a:xfrm>
          <a:off x="12378055" y="881701310"/>
          <a:ext cx="2060575" cy="2066290"/>
        </a:xfrm>
        <a:prstGeom prst="rect">
          <a:avLst/>
        </a:prstGeom>
        <a:noFill/>
        <a:ln w="9525">
          <a:noFill/>
        </a:ln>
      </xdr:spPr>
    </xdr:pic>
  </etc:cellImage>
  <etc:cellImage>
    <xdr:pic>
      <xdr:nvPicPr>
        <xdr:cNvPr id="134" name="ID_DA1FBE6E656C4BEB8D31EE7DA5B4FB94"/>
        <xdr:cNvPicPr>
          <a:picLocks noChangeAspect="1"/>
        </xdr:cNvPicPr>
      </xdr:nvPicPr>
      <xdr:blipFill>
        <a:blip r:embed="rId126"/>
        <a:stretch>
          <a:fillRect/>
        </a:stretch>
      </xdr:blipFill>
      <xdr:spPr>
        <a:xfrm>
          <a:off x="12486640" y="1244540310"/>
          <a:ext cx="1843405" cy="1821180"/>
        </a:xfrm>
        <a:prstGeom prst="rect">
          <a:avLst/>
        </a:prstGeom>
        <a:noFill/>
        <a:ln w="9525">
          <a:noFill/>
        </a:ln>
      </xdr:spPr>
    </xdr:pic>
  </etc:cellImage>
  <etc:cellImage>
    <xdr:pic>
      <xdr:nvPicPr>
        <xdr:cNvPr id="135" name="ID_9150538F4E46491DA4A2844B99A12806"/>
        <xdr:cNvPicPr>
          <a:picLocks noChangeAspect="1"/>
        </xdr:cNvPicPr>
      </xdr:nvPicPr>
      <xdr:blipFill>
        <a:blip r:embed="rId127"/>
        <a:srcRect l="19604" t="3177" r="12825"/>
        <a:stretch>
          <a:fillRect/>
        </a:stretch>
      </xdr:blipFill>
      <xdr:spPr>
        <a:xfrm>
          <a:off x="12380595" y="113114455"/>
          <a:ext cx="2058035" cy="2032635"/>
        </a:xfrm>
        <a:prstGeom prst="rect">
          <a:avLst/>
        </a:prstGeom>
        <a:noFill/>
        <a:ln w="9525">
          <a:noFill/>
        </a:ln>
      </xdr:spPr>
    </xdr:pic>
  </etc:cellImage>
  <etc:cellImage>
    <xdr:pic>
      <xdr:nvPicPr>
        <xdr:cNvPr id="136" name="ID_2738AAE566354CE49B38BCF619303491"/>
        <xdr:cNvPicPr>
          <a:picLocks noChangeAspect="1"/>
        </xdr:cNvPicPr>
      </xdr:nvPicPr>
      <xdr:blipFill>
        <a:blip r:embed="rId128"/>
        <a:stretch>
          <a:fillRect/>
        </a:stretch>
      </xdr:blipFill>
      <xdr:spPr>
        <a:xfrm>
          <a:off x="12361545" y="119912130"/>
          <a:ext cx="2091055" cy="1399540"/>
        </a:xfrm>
        <a:prstGeom prst="rect">
          <a:avLst/>
        </a:prstGeom>
        <a:noFill/>
        <a:ln w="9525">
          <a:noFill/>
        </a:ln>
      </xdr:spPr>
    </xdr:pic>
  </etc:cellImage>
  <etc:cellImage>
    <xdr:pic>
      <xdr:nvPicPr>
        <xdr:cNvPr id="137" name="ID_C162BE85659142DBAF9A926838A3935A"/>
        <xdr:cNvPicPr>
          <a:picLocks noChangeAspect="1"/>
        </xdr:cNvPicPr>
      </xdr:nvPicPr>
      <xdr:blipFill>
        <a:blip r:embed="rId129"/>
        <a:stretch>
          <a:fillRect/>
        </a:stretch>
      </xdr:blipFill>
      <xdr:spPr>
        <a:xfrm>
          <a:off x="12698730" y="436947310"/>
          <a:ext cx="1418590" cy="2066290"/>
        </a:xfrm>
        <a:prstGeom prst="rect">
          <a:avLst/>
        </a:prstGeom>
        <a:noFill/>
        <a:ln w="9525">
          <a:noFill/>
        </a:ln>
      </xdr:spPr>
    </xdr:pic>
  </etc:cellImage>
  <etc:cellImage>
    <xdr:pic>
      <xdr:nvPicPr>
        <xdr:cNvPr id="138" name="ID_92D1692EA46547D5A9344D241411233F"/>
        <xdr:cNvPicPr>
          <a:picLocks noChangeAspect="1"/>
        </xdr:cNvPicPr>
      </xdr:nvPicPr>
      <xdr:blipFill>
        <a:blip r:embed="rId130"/>
        <a:stretch>
          <a:fillRect/>
        </a:stretch>
      </xdr:blipFill>
      <xdr:spPr>
        <a:xfrm>
          <a:off x="12507595" y="536278455"/>
          <a:ext cx="1801495" cy="2040890"/>
        </a:xfrm>
        <a:prstGeom prst="rect">
          <a:avLst/>
        </a:prstGeom>
        <a:noFill/>
        <a:ln w="9525">
          <a:noFill/>
        </a:ln>
      </xdr:spPr>
    </xdr:pic>
  </etc:cellImage>
  <etc:cellImage>
    <xdr:pic>
      <xdr:nvPicPr>
        <xdr:cNvPr id="139" name="ID_DD035A9E819047A5A4EFE95D2ECA8A8E"/>
        <xdr:cNvPicPr>
          <a:picLocks noChangeAspect="1"/>
        </xdr:cNvPicPr>
      </xdr:nvPicPr>
      <xdr:blipFill>
        <a:blip r:embed="rId131"/>
        <a:srcRect l="15048" t="20453" r="10477" b="17670"/>
        <a:stretch>
          <a:fillRect/>
        </a:stretch>
      </xdr:blipFill>
      <xdr:spPr>
        <a:xfrm>
          <a:off x="12386310" y="126068455"/>
          <a:ext cx="2043430" cy="2040890"/>
        </a:xfrm>
        <a:prstGeom prst="rect">
          <a:avLst/>
        </a:prstGeom>
        <a:noFill/>
        <a:ln w="9525">
          <a:noFill/>
        </a:ln>
      </xdr:spPr>
    </xdr:pic>
  </etc:cellImage>
  <etc:cellImage>
    <xdr:pic>
      <xdr:nvPicPr>
        <xdr:cNvPr id="140" name="ID_25F7CE1EBE774E048BDF39447314086C"/>
        <xdr:cNvPicPr>
          <a:picLocks noChangeAspect="1"/>
        </xdr:cNvPicPr>
      </xdr:nvPicPr>
      <xdr:blipFill>
        <a:blip r:embed="rId132"/>
        <a:stretch>
          <a:fillRect/>
        </a:stretch>
      </xdr:blipFill>
      <xdr:spPr>
        <a:xfrm>
          <a:off x="12338685" y="130327400"/>
          <a:ext cx="2105660" cy="2049145"/>
        </a:xfrm>
        <a:prstGeom prst="rect">
          <a:avLst/>
        </a:prstGeom>
        <a:noFill/>
        <a:ln w="9525">
          <a:noFill/>
        </a:ln>
      </xdr:spPr>
    </xdr:pic>
  </etc:cellImage>
  <etc:cellImage>
    <xdr:pic>
      <xdr:nvPicPr>
        <xdr:cNvPr id="141" name="ID_C304A9A1F4F840A5A77DE1D372368F94"/>
        <xdr:cNvPicPr preferRelativeResize="0">
          <a:picLocks noChangeAspect="1"/>
        </xdr:cNvPicPr>
      </xdr:nvPicPr>
      <xdr:blipFill>
        <a:blip r:embed="rId133"/>
        <a:stretch>
          <a:fillRect/>
        </a:stretch>
      </xdr:blipFill>
      <xdr:spPr>
        <a:xfrm>
          <a:off x="12423775" y="136880600"/>
          <a:ext cx="1968500" cy="1998345"/>
        </a:xfrm>
        <a:prstGeom prst="rect">
          <a:avLst/>
        </a:prstGeom>
        <a:noFill/>
        <a:ln w="9525">
          <a:noFill/>
        </a:ln>
      </xdr:spPr>
    </xdr:pic>
  </etc:cellImage>
  <etc:cellImage>
    <xdr:pic>
      <xdr:nvPicPr>
        <xdr:cNvPr id="143" name="ID_22D3AD970E424ED4A73EDCA0D8AA022A" descr="菜心（云南）"/>
        <xdr:cNvPicPr>
          <a:picLocks noChangeAspect="1"/>
        </xdr:cNvPicPr>
      </xdr:nvPicPr>
      <xdr:blipFill>
        <a:blip r:embed="rId134"/>
        <a:stretch>
          <a:fillRect/>
        </a:stretch>
      </xdr:blipFill>
      <xdr:spPr>
        <a:xfrm>
          <a:off x="12359640" y="961593200"/>
          <a:ext cx="2095500" cy="2049145"/>
        </a:xfrm>
        <a:prstGeom prst="rect">
          <a:avLst/>
        </a:prstGeom>
        <a:noFill/>
        <a:ln w="9525">
          <a:noFill/>
        </a:ln>
      </xdr:spPr>
    </xdr:pic>
  </etc:cellImage>
  <etc:cellImage>
    <xdr:pic>
      <xdr:nvPicPr>
        <xdr:cNvPr id="144" name="ID_1F31418990F54E37A5041ED11D853F3F"/>
        <xdr:cNvPicPr>
          <a:picLocks noChangeAspect="1"/>
        </xdr:cNvPicPr>
      </xdr:nvPicPr>
      <xdr:blipFill>
        <a:blip r:embed="rId135"/>
        <a:stretch>
          <a:fillRect/>
        </a:stretch>
      </xdr:blipFill>
      <xdr:spPr>
        <a:xfrm>
          <a:off x="12399010" y="648538200"/>
          <a:ext cx="2018665" cy="2049145"/>
        </a:xfrm>
        <a:prstGeom prst="rect">
          <a:avLst/>
        </a:prstGeom>
        <a:noFill/>
        <a:ln w="9525">
          <a:noFill/>
        </a:ln>
      </xdr:spPr>
    </xdr:pic>
  </etc:cellImage>
  <etc:cellImage>
    <xdr:pic>
      <xdr:nvPicPr>
        <xdr:cNvPr id="145" name="ID_C1CB4B03F17F42D6B11B520165D605D4"/>
        <xdr:cNvPicPr>
          <a:picLocks noChangeAspect="1"/>
        </xdr:cNvPicPr>
      </xdr:nvPicPr>
      <xdr:blipFill>
        <a:blip r:embed="rId136"/>
        <a:stretch>
          <a:fillRect/>
        </a:stretch>
      </xdr:blipFill>
      <xdr:spPr>
        <a:xfrm>
          <a:off x="12849225" y="452035545"/>
          <a:ext cx="1118235" cy="2124710"/>
        </a:xfrm>
        <a:prstGeom prst="rect">
          <a:avLst/>
        </a:prstGeom>
        <a:noFill/>
        <a:ln w="9525">
          <a:noFill/>
        </a:ln>
      </xdr:spPr>
    </xdr:pic>
  </etc:cellImage>
  <etc:cellImage>
    <xdr:pic>
      <xdr:nvPicPr>
        <xdr:cNvPr id="146" name="ID_3D5DDF6AF52548FEA8DB9AEBEAEDA14B"/>
        <xdr:cNvPicPr>
          <a:picLocks noChangeAspect="1"/>
        </xdr:cNvPicPr>
      </xdr:nvPicPr>
      <xdr:blipFill>
        <a:blip r:embed="rId137"/>
        <a:stretch>
          <a:fillRect/>
        </a:stretch>
      </xdr:blipFill>
      <xdr:spPr>
        <a:xfrm>
          <a:off x="12374245" y="551374310"/>
          <a:ext cx="2068195" cy="2066290"/>
        </a:xfrm>
        <a:prstGeom prst="rect">
          <a:avLst/>
        </a:prstGeom>
        <a:noFill/>
        <a:ln w="9525">
          <a:noFill/>
        </a:ln>
      </xdr:spPr>
    </xdr:pic>
  </etc:cellImage>
  <etc:cellImage>
    <xdr:pic>
      <xdr:nvPicPr>
        <xdr:cNvPr id="148" name="ID_5871A135B05F418C89D4218467564BB2"/>
        <xdr:cNvPicPr>
          <a:picLocks noChangeAspect="1"/>
        </xdr:cNvPicPr>
      </xdr:nvPicPr>
      <xdr:blipFill>
        <a:blip r:embed="rId138"/>
        <a:stretch>
          <a:fillRect/>
        </a:stretch>
      </xdr:blipFill>
      <xdr:spPr>
        <a:xfrm>
          <a:off x="12553315" y="402403310"/>
          <a:ext cx="1708150" cy="2066290"/>
        </a:xfrm>
        <a:prstGeom prst="rect">
          <a:avLst/>
        </a:prstGeom>
        <a:noFill/>
        <a:ln w="9525">
          <a:noFill/>
        </a:ln>
      </xdr:spPr>
    </xdr:pic>
  </etc:cellImage>
  <etc:cellImage>
    <xdr:pic>
      <xdr:nvPicPr>
        <xdr:cNvPr id="149" name="ID_3EB5B2BC05C549129D1AE8CD432ACA79"/>
        <xdr:cNvPicPr>
          <a:picLocks noChangeAspect="1"/>
        </xdr:cNvPicPr>
      </xdr:nvPicPr>
      <xdr:blipFill>
        <a:blip r:embed="rId139"/>
        <a:stretch>
          <a:fillRect/>
        </a:stretch>
      </xdr:blipFill>
      <xdr:spPr>
        <a:xfrm>
          <a:off x="12392660" y="501700800"/>
          <a:ext cx="2031365" cy="2099945"/>
        </a:xfrm>
        <a:prstGeom prst="rect">
          <a:avLst/>
        </a:prstGeom>
        <a:noFill/>
        <a:ln w="9525">
          <a:noFill/>
        </a:ln>
      </xdr:spPr>
    </xdr:pic>
  </etc:cellImage>
  <etc:cellImage>
    <xdr:pic>
      <xdr:nvPicPr>
        <xdr:cNvPr id="150" name="ID_5C35F4DDE2E144C38C88D8E0042439CA"/>
        <xdr:cNvPicPr>
          <a:picLocks noChangeAspect="1"/>
        </xdr:cNvPicPr>
      </xdr:nvPicPr>
      <xdr:blipFill>
        <a:blip r:embed="rId140"/>
        <a:stretch>
          <a:fillRect/>
        </a:stretch>
      </xdr:blipFill>
      <xdr:spPr>
        <a:xfrm>
          <a:off x="12409805" y="1216371710"/>
          <a:ext cx="1995170" cy="2015490"/>
        </a:xfrm>
        <a:prstGeom prst="rect">
          <a:avLst/>
        </a:prstGeom>
        <a:noFill/>
        <a:ln w="9525">
          <a:noFill/>
        </a:ln>
      </xdr:spPr>
    </xdr:pic>
  </etc:cellImage>
  <etc:cellImage>
    <xdr:pic>
      <xdr:nvPicPr>
        <xdr:cNvPr id="151" name="ID_684E69B6BF184C0FB6ACAC4DA632AD74"/>
        <xdr:cNvPicPr>
          <a:picLocks noChangeAspect="1"/>
        </xdr:cNvPicPr>
      </xdr:nvPicPr>
      <xdr:blipFill>
        <a:blip r:embed="rId141"/>
        <a:srcRect t="35872"/>
        <a:stretch>
          <a:fillRect/>
        </a:stretch>
      </xdr:blipFill>
      <xdr:spPr>
        <a:xfrm>
          <a:off x="12390755" y="655158075"/>
          <a:ext cx="2033270" cy="1771650"/>
        </a:xfrm>
        <a:prstGeom prst="rect">
          <a:avLst/>
        </a:prstGeom>
        <a:noFill/>
        <a:ln w="9525">
          <a:noFill/>
        </a:ln>
      </xdr:spPr>
    </xdr:pic>
  </etc:cellImage>
  <etc:cellImage>
    <xdr:pic>
      <xdr:nvPicPr>
        <xdr:cNvPr id="152" name="ID_A5810D4477F3413B8FF8A8736605F8E7"/>
        <xdr:cNvPicPr>
          <a:picLocks noChangeAspect="1"/>
        </xdr:cNvPicPr>
      </xdr:nvPicPr>
      <xdr:blipFill>
        <a:blip r:embed="rId142"/>
        <a:srcRect t="9564"/>
        <a:stretch>
          <a:fillRect/>
        </a:stretch>
      </xdr:blipFill>
      <xdr:spPr>
        <a:xfrm>
          <a:off x="12386310" y="760806200"/>
          <a:ext cx="2043430" cy="2049145"/>
        </a:xfrm>
        <a:prstGeom prst="rect">
          <a:avLst/>
        </a:prstGeom>
        <a:noFill/>
        <a:ln w="9525">
          <a:noFill/>
        </a:ln>
      </xdr:spPr>
    </xdr:pic>
  </etc:cellImage>
  <etc:cellImage>
    <xdr:pic>
      <xdr:nvPicPr>
        <xdr:cNvPr id="154" name="ID_9778C8EB586942BB9F271106508A4BC4"/>
        <xdr:cNvPicPr>
          <a:picLocks noChangeAspect="1"/>
        </xdr:cNvPicPr>
      </xdr:nvPicPr>
      <xdr:blipFill>
        <a:blip r:embed="rId143"/>
        <a:srcRect t="15181" b="7147"/>
        <a:stretch>
          <a:fillRect/>
        </a:stretch>
      </xdr:blipFill>
      <xdr:spPr>
        <a:xfrm>
          <a:off x="12409805" y="149809200"/>
          <a:ext cx="1997075" cy="2049145"/>
        </a:xfrm>
        <a:prstGeom prst="rect">
          <a:avLst/>
        </a:prstGeom>
        <a:noFill/>
        <a:ln w="9525">
          <a:noFill/>
        </a:ln>
      </xdr:spPr>
    </xdr:pic>
  </etc:cellImage>
  <etc:cellImage>
    <xdr:pic>
      <xdr:nvPicPr>
        <xdr:cNvPr id="155" name="ID_D179D981105F40CBB61A2E59CAB9A9A0"/>
        <xdr:cNvPicPr>
          <a:picLocks noChangeAspect="1"/>
        </xdr:cNvPicPr>
      </xdr:nvPicPr>
      <xdr:blipFill>
        <a:blip r:embed="rId144"/>
        <a:stretch>
          <a:fillRect/>
        </a:stretch>
      </xdr:blipFill>
      <xdr:spPr>
        <a:xfrm>
          <a:off x="12434570" y="151942800"/>
          <a:ext cx="1960245" cy="2099945"/>
        </a:xfrm>
        <a:prstGeom prst="rect">
          <a:avLst/>
        </a:prstGeom>
        <a:noFill/>
        <a:ln w="9525">
          <a:noFill/>
        </a:ln>
      </xdr:spPr>
    </xdr:pic>
  </etc:cellImage>
  <etc:cellImage>
    <xdr:pic>
      <xdr:nvPicPr>
        <xdr:cNvPr id="156" name="ID_F7CCC862A6D1488BA7817D37981D9E88" descr="t01956cac853ab49478"/>
        <xdr:cNvPicPr>
          <a:picLocks noChangeAspect="1"/>
        </xdr:cNvPicPr>
      </xdr:nvPicPr>
      <xdr:blipFill>
        <a:blip r:embed="rId145"/>
        <a:stretch>
          <a:fillRect/>
        </a:stretch>
      </xdr:blipFill>
      <xdr:spPr>
        <a:xfrm>
          <a:off x="12359640" y="665936565"/>
          <a:ext cx="2095500" cy="1804670"/>
        </a:xfrm>
        <a:prstGeom prst="rect">
          <a:avLst/>
        </a:prstGeom>
        <a:noFill/>
        <a:ln w="9525">
          <a:noFill/>
        </a:ln>
      </xdr:spPr>
    </xdr:pic>
  </etc:cellImage>
  <etc:cellImage>
    <xdr:pic>
      <xdr:nvPicPr>
        <xdr:cNvPr id="157" name="ID_CE13A88A8CA6443C88FEB508C605EC82" descr="af243f6a8f974d55abf34a2e1583822b.jpg (1338×1004)"/>
        <xdr:cNvPicPr>
          <a:picLocks noChangeAspect="1"/>
        </xdr:cNvPicPr>
      </xdr:nvPicPr>
      <xdr:blipFill>
        <a:blip r:embed="rId146"/>
        <a:stretch>
          <a:fillRect/>
        </a:stretch>
      </xdr:blipFill>
      <xdr:spPr>
        <a:xfrm>
          <a:off x="12367895" y="158445200"/>
          <a:ext cx="2080895" cy="2057400"/>
        </a:xfrm>
        <a:prstGeom prst="rect">
          <a:avLst/>
        </a:prstGeom>
        <a:noFill/>
        <a:ln w="9525">
          <a:noFill/>
        </a:ln>
      </xdr:spPr>
    </xdr:pic>
  </etc:cellImage>
  <etc:cellImage>
    <xdr:pic>
      <xdr:nvPicPr>
        <xdr:cNvPr id="158" name="ID_644C85D59D4B4E12B68A30EF59E709BD"/>
        <xdr:cNvPicPr>
          <a:picLocks noChangeAspect="1"/>
        </xdr:cNvPicPr>
      </xdr:nvPicPr>
      <xdr:blipFill>
        <a:blip r:embed="rId147"/>
        <a:stretch>
          <a:fillRect/>
        </a:stretch>
      </xdr:blipFill>
      <xdr:spPr>
        <a:xfrm>
          <a:off x="12501245" y="523332710"/>
          <a:ext cx="1814195" cy="2024380"/>
        </a:xfrm>
        <a:prstGeom prst="rect">
          <a:avLst/>
        </a:prstGeom>
        <a:noFill/>
        <a:ln w="9525">
          <a:noFill/>
        </a:ln>
      </xdr:spPr>
    </xdr:pic>
  </etc:cellImage>
  <etc:cellImage>
    <xdr:pic>
      <xdr:nvPicPr>
        <xdr:cNvPr id="159" name="ID_38D90ABE8E154087BEB5917F11098372"/>
        <xdr:cNvPicPr>
          <a:picLocks noChangeAspect="1"/>
        </xdr:cNvPicPr>
      </xdr:nvPicPr>
      <xdr:blipFill>
        <a:blip r:embed="rId148"/>
        <a:stretch>
          <a:fillRect/>
        </a:stretch>
      </xdr:blipFill>
      <xdr:spPr>
        <a:xfrm>
          <a:off x="12409805" y="160553400"/>
          <a:ext cx="1993265" cy="2209800"/>
        </a:xfrm>
        <a:prstGeom prst="rect">
          <a:avLst/>
        </a:prstGeom>
        <a:noFill/>
        <a:ln w="9525">
          <a:noFill/>
        </a:ln>
      </xdr:spPr>
    </xdr:pic>
  </etc:cellImage>
  <etc:cellImage>
    <xdr:pic>
      <xdr:nvPicPr>
        <xdr:cNvPr id="160" name="ID_42D3F401AE2B4C1FBEAB8077DD0907D0" descr="2222b8afe1864b46b38bd5fa54a89ff1.jpg (1920×1080)"/>
        <xdr:cNvPicPr>
          <a:picLocks noChangeAspect="1"/>
        </xdr:cNvPicPr>
      </xdr:nvPicPr>
      <xdr:blipFill>
        <a:blip r:embed="rId149"/>
        <a:srcRect l="20244" r="21727"/>
        <a:stretch>
          <a:fillRect/>
        </a:stretch>
      </xdr:blipFill>
      <xdr:spPr>
        <a:xfrm>
          <a:off x="12382500" y="162796855"/>
          <a:ext cx="2051685" cy="1990090"/>
        </a:xfrm>
        <a:prstGeom prst="rect">
          <a:avLst/>
        </a:prstGeom>
        <a:noFill/>
        <a:ln w="9525">
          <a:noFill/>
        </a:ln>
      </xdr:spPr>
    </xdr:pic>
  </etc:cellImage>
  <etc:cellImage>
    <xdr:pic>
      <xdr:nvPicPr>
        <xdr:cNvPr id="161" name="ID_10B9A44E0EC34188B840252D4F01E6B7"/>
        <xdr:cNvPicPr>
          <a:picLocks noChangeAspect="1"/>
        </xdr:cNvPicPr>
      </xdr:nvPicPr>
      <xdr:blipFill>
        <a:blip r:embed="rId150"/>
        <a:stretch>
          <a:fillRect/>
        </a:stretch>
      </xdr:blipFill>
      <xdr:spPr>
        <a:xfrm>
          <a:off x="12367895" y="165242240"/>
          <a:ext cx="2078990" cy="1417320"/>
        </a:xfrm>
        <a:prstGeom prst="rect">
          <a:avLst/>
        </a:prstGeom>
        <a:noFill/>
        <a:ln w="9525">
          <a:noFill/>
        </a:ln>
      </xdr:spPr>
    </xdr:pic>
  </etc:cellImage>
  <etc:cellImage>
    <xdr:pic>
      <xdr:nvPicPr>
        <xdr:cNvPr id="162" name="ID_B2ED06E1A69B491AB0C97423E38D69CA"/>
        <xdr:cNvPicPr>
          <a:picLocks noChangeAspect="1"/>
        </xdr:cNvPicPr>
      </xdr:nvPicPr>
      <xdr:blipFill>
        <a:blip r:embed="rId151"/>
        <a:stretch>
          <a:fillRect/>
        </a:stretch>
      </xdr:blipFill>
      <xdr:spPr>
        <a:xfrm>
          <a:off x="12361545" y="272855055"/>
          <a:ext cx="2091055" cy="2091690"/>
        </a:xfrm>
        <a:prstGeom prst="rect">
          <a:avLst/>
        </a:prstGeom>
        <a:noFill/>
        <a:ln w="9525">
          <a:noFill/>
        </a:ln>
      </xdr:spPr>
    </xdr:pic>
  </etc:cellImage>
  <etc:cellImage>
    <xdr:pic>
      <xdr:nvPicPr>
        <xdr:cNvPr id="163" name="ID_18715EC41261463C8C14425774F62469"/>
        <xdr:cNvPicPr>
          <a:picLocks noChangeAspect="1"/>
        </xdr:cNvPicPr>
      </xdr:nvPicPr>
      <xdr:blipFill>
        <a:blip r:embed="rId152"/>
        <a:stretch>
          <a:fillRect/>
        </a:stretch>
      </xdr:blipFill>
      <xdr:spPr>
        <a:xfrm>
          <a:off x="12407265" y="169594530"/>
          <a:ext cx="2002155" cy="1349375"/>
        </a:xfrm>
        <a:prstGeom prst="rect">
          <a:avLst/>
        </a:prstGeom>
        <a:noFill/>
        <a:ln w="9525">
          <a:noFill/>
        </a:ln>
      </xdr:spPr>
    </xdr:pic>
  </etc:cellImage>
  <etc:cellImage>
    <xdr:pic>
      <xdr:nvPicPr>
        <xdr:cNvPr id="164" name="ID_ABA588671E1D4ACC8FBD22224F2276D6"/>
        <xdr:cNvPicPr>
          <a:picLocks noChangeAspect="1"/>
        </xdr:cNvPicPr>
      </xdr:nvPicPr>
      <xdr:blipFill>
        <a:blip r:embed="rId153"/>
        <a:stretch>
          <a:fillRect/>
        </a:stretch>
      </xdr:blipFill>
      <xdr:spPr>
        <a:xfrm>
          <a:off x="12371705" y="275031200"/>
          <a:ext cx="2072640" cy="2057400"/>
        </a:xfrm>
        <a:prstGeom prst="rect">
          <a:avLst/>
        </a:prstGeom>
        <a:noFill/>
        <a:ln w="9525">
          <a:noFill/>
        </a:ln>
      </xdr:spPr>
    </xdr:pic>
  </etc:cellImage>
  <etc:cellImage>
    <xdr:pic>
      <xdr:nvPicPr>
        <xdr:cNvPr id="165" name="ID_58499D70D22749D1B9CBA7B9BC491FD7"/>
        <xdr:cNvPicPr>
          <a:picLocks noChangeAspect="1"/>
        </xdr:cNvPicPr>
      </xdr:nvPicPr>
      <xdr:blipFill>
        <a:blip r:embed="rId154"/>
        <a:srcRect l="4987" r="4538" b="10794"/>
        <a:stretch>
          <a:fillRect/>
        </a:stretch>
      </xdr:blipFill>
      <xdr:spPr>
        <a:xfrm>
          <a:off x="12447270" y="225382455"/>
          <a:ext cx="1922145" cy="2032635"/>
        </a:xfrm>
        <a:prstGeom prst="rect">
          <a:avLst/>
        </a:prstGeom>
        <a:noFill/>
        <a:ln w="9525">
          <a:noFill/>
        </a:ln>
      </xdr:spPr>
    </xdr:pic>
  </etc:cellImage>
  <etc:cellImage>
    <xdr:pic>
      <xdr:nvPicPr>
        <xdr:cNvPr id="166" name="ID_F98EDD9B2E474D2F91D25E0532D3872F"/>
        <xdr:cNvPicPr>
          <a:picLocks noChangeAspect="1"/>
        </xdr:cNvPicPr>
      </xdr:nvPicPr>
      <xdr:blipFill>
        <a:blip r:embed="rId155"/>
        <a:stretch>
          <a:fillRect/>
        </a:stretch>
      </xdr:blipFill>
      <xdr:spPr>
        <a:xfrm>
          <a:off x="12640945" y="173600110"/>
          <a:ext cx="1534795" cy="1973580"/>
        </a:xfrm>
        <a:prstGeom prst="rect">
          <a:avLst/>
        </a:prstGeom>
        <a:noFill/>
        <a:ln w="9525">
          <a:noFill/>
        </a:ln>
      </xdr:spPr>
    </xdr:pic>
  </etc:cellImage>
  <etc:cellImage>
    <xdr:pic>
      <xdr:nvPicPr>
        <xdr:cNvPr id="167" name="ID_B102E015B5BE4071882E3691DEA0453D"/>
        <xdr:cNvPicPr>
          <a:picLocks noChangeAspect="1"/>
        </xdr:cNvPicPr>
      </xdr:nvPicPr>
      <xdr:blipFill>
        <a:blip r:embed="rId156"/>
        <a:stretch>
          <a:fillRect/>
        </a:stretch>
      </xdr:blipFill>
      <xdr:spPr>
        <a:xfrm>
          <a:off x="12447270" y="176046130"/>
          <a:ext cx="1924685" cy="1399540"/>
        </a:xfrm>
        <a:prstGeom prst="rect">
          <a:avLst/>
        </a:prstGeom>
        <a:noFill/>
        <a:ln w="9525">
          <a:noFill/>
        </a:ln>
      </xdr:spPr>
    </xdr:pic>
  </etc:cellImage>
  <etc:cellImage>
    <xdr:pic>
      <xdr:nvPicPr>
        <xdr:cNvPr id="168" name="ID_47A15F41E96D4C1EB9B46BA454F6D549"/>
        <xdr:cNvPicPr>
          <a:picLocks noChangeAspect="1"/>
        </xdr:cNvPicPr>
      </xdr:nvPicPr>
      <xdr:blipFill>
        <a:blip r:embed="rId157"/>
        <a:stretch>
          <a:fillRect/>
        </a:stretch>
      </xdr:blipFill>
      <xdr:spPr>
        <a:xfrm>
          <a:off x="12421235" y="974787865"/>
          <a:ext cx="1989455" cy="1466850"/>
        </a:xfrm>
        <a:prstGeom prst="rect">
          <a:avLst/>
        </a:prstGeom>
        <a:noFill/>
        <a:ln w="9525">
          <a:noFill/>
        </a:ln>
      </xdr:spPr>
    </xdr:pic>
  </etc:cellImage>
  <etc:cellImage>
    <xdr:pic>
      <xdr:nvPicPr>
        <xdr:cNvPr id="169" name="ID_5FD0BDD8AF2A45C2A680CDF1D3B4BACB" descr="螺丝椒"/>
        <xdr:cNvPicPr>
          <a:picLocks noChangeAspect="1"/>
        </xdr:cNvPicPr>
      </xdr:nvPicPr>
      <xdr:blipFill>
        <a:blip r:embed="rId158"/>
        <a:srcRect t="14151"/>
        <a:stretch>
          <a:fillRect/>
        </a:stretch>
      </xdr:blipFill>
      <xdr:spPr>
        <a:xfrm>
          <a:off x="12376150" y="1067375310"/>
          <a:ext cx="2062480" cy="2066290"/>
        </a:xfrm>
        <a:prstGeom prst="rect">
          <a:avLst/>
        </a:prstGeom>
        <a:noFill/>
        <a:ln w="9525">
          <a:noFill/>
        </a:ln>
      </xdr:spPr>
    </xdr:pic>
  </etc:cellImage>
  <etc:cellImage>
    <xdr:pic>
      <xdr:nvPicPr>
        <xdr:cNvPr id="170" name="ID_9876748702C94A7FB29DAEE265816D32"/>
        <xdr:cNvPicPr>
          <a:picLocks noChangeAspect="1"/>
        </xdr:cNvPicPr>
      </xdr:nvPicPr>
      <xdr:blipFill>
        <a:blip r:embed="rId159"/>
        <a:stretch>
          <a:fillRect/>
        </a:stretch>
      </xdr:blipFill>
      <xdr:spPr>
        <a:xfrm>
          <a:off x="12675870" y="229700455"/>
          <a:ext cx="1464310" cy="2040890"/>
        </a:xfrm>
        <a:prstGeom prst="rect">
          <a:avLst/>
        </a:prstGeom>
        <a:noFill/>
        <a:ln w="9525">
          <a:noFill/>
        </a:ln>
      </xdr:spPr>
    </xdr:pic>
  </etc:cellImage>
  <etc:cellImage>
    <xdr:pic>
      <xdr:nvPicPr>
        <xdr:cNvPr id="171" name="ID_F85269F196A94314A920A8C34920819E" descr="肉鸭"/>
        <xdr:cNvPicPr>
          <a:picLocks noChangeAspect="1"/>
        </xdr:cNvPicPr>
      </xdr:nvPicPr>
      <xdr:blipFill>
        <a:blip r:embed="rId160"/>
        <a:stretch>
          <a:fillRect/>
        </a:stretch>
      </xdr:blipFill>
      <xdr:spPr>
        <a:xfrm>
          <a:off x="12382500" y="182210710"/>
          <a:ext cx="2049780" cy="2024380"/>
        </a:xfrm>
        <a:prstGeom prst="rect">
          <a:avLst/>
        </a:prstGeom>
        <a:noFill/>
        <a:ln w="9525">
          <a:noFill/>
        </a:ln>
      </xdr:spPr>
    </xdr:pic>
  </etc:cellImage>
  <etc:cellImage>
    <xdr:pic>
      <xdr:nvPicPr>
        <xdr:cNvPr id="172" name="ID_E4E5E5904F0B4AA98DD2D1F2AA5D5403"/>
        <xdr:cNvPicPr>
          <a:picLocks noChangeAspect="1"/>
        </xdr:cNvPicPr>
      </xdr:nvPicPr>
      <xdr:blipFill>
        <a:blip r:embed="rId161"/>
        <a:stretch>
          <a:fillRect/>
        </a:stretch>
      </xdr:blipFill>
      <xdr:spPr>
        <a:xfrm>
          <a:off x="12607290" y="238294545"/>
          <a:ext cx="1602105" cy="2124710"/>
        </a:xfrm>
        <a:prstGeom prst="rect">
          <a:avLst/>
        </a:prstGeom>
        <a:noFill/>
        <a:ln w="9525">
          <a:noFill/>
        </a:ln>
      </xdr:spPr>
    </xdr:pic>
  </etc:cellImage>
  <etc:cellImage>
    <xdr:pic>
      <xdr:nvPicPr>
        <xdr:cNvPr id="173" name="ID_768B96ACEB5A48F6A8178D89681F687F" descr="麻鸭"/>
        <xdr:cNvPicPr>
          <a:picLocks noChangeAspect="1"/>
        </xdr:cNvPicPr>
      </xdr:nvPicPr>
      <xdr:blipFill>
        <a:blip r:embed="rId162"/>
        <a:stretch>
          <a:fillRect/>
        </a:stretch>
      </xdr:blipFill>
      <xdr:spPr>
        <a:xfrm>
          <a:off x="12374245" y="184361455"/>
          <a:ext cx="2066290" cy="2040890"/>
        </a:xfrm>
        <a:prstGeom prst="rect">
          <a:avLst/>
        </a:prstGeom>
        <a:noFill/>
        <a:ln w="9525">
          <a:noFill/>
        </a:ln>
      </xdr:spPr>
    </xdr:pic>
  </etc:cellImage>
  <etc:cellImage>
    <xdr:pic>
      <xdr:nvPicPr>
        <xdr:cNvPr id="174" name="ID_B7147FF34B65451B9EAB00801CF3E439"/>
        <xdr:cNvPicPr>
          <a:picLocks noChangeAspect="1"/>
        </xdr:cNvPicPr>
      </xdr:nvPicPr>
      <xdr:blipFill>
        <a:blip r:embed="rId163"/>
        <a:stretch>
          <a:fillRect/>
        </a:stretch>
      </xdr:blipFill>
      <xdr:spPr>
        <a:xfrm>
          <a:off x="12374245" y="186486800"/>
          <a:ext cx="2091055" cy="2116455"/>
        </a:xfrm>
        <a:prstGeom prst="rect">
          <a:avLst/>
        </a:prstGeom>
        <a:noFill/>
        <a:ln w="9525">
          <a:noFill/>
        </a:ln>
      </xdr:spPr>
    </xdr:pic>
  </etc:cellImage>
  <etc:cellImage>
    <xdr:pic>
      <xdr:nvPicPr>
        <xdr:cNvPr id="175" name="ID_0723ADF4FE2C4E00A238704E1A8E3F0C"/>
        <xdr:cNvPicPr>
          <a:picLocks noChangeAspect="1"/>
        </xdr:cNvPicPr>
      </xdr:nvPicPr>
      <xdr:blipFill>
        <a:blip r:embed="rId164"/>
        <a:srcRect l="49524" t="14664" r="2870" b="14044"/>
        <a:stretch>
          <a:fillRect/>
        </a:stretch>
      </xdr:blipFill>
      <xdr:spPr>
        <a:xfrm>
          <a:off x="12715875" y="417516310"/>
          <a:ext cx="1384935" cy="2066290"/>
        </a:xfrm>
        <a:prstGeom prst="rect">
          <a:avLst/>
        </a:prstGeom>
        <a:noFill/>
        <a:ln w="9525">
          <a:noFill/>
        </a:ln>
      </xdr:spPr>
    </xdr:pic>
  </etc:cellImage>
  <etc:cellImage>
    <xdr:pic>
      <xdr:nvPicPr>
        <xdr:cNvPr id="176" name="ID_7097117CAA564804AF13C80A516786B3"/>
        <xdr:cNvPicPr>
          <a:picLocks noChangeAspect="1"/>
        </xdr:cNvPicPr>
      </xdr:nvPicPr>
      <xdr:blipFill>
        <a:blip r:embed="rId165"/>
        <a:stretch>
          <a:fillRect/>
        </a:stretch>
      </xdr:blipFill>
      <xdr:spPr>
        <a:xfrm>
          <a:off x="12355195" y="516830310"/>
          <a:ext cx="2106295" cy="2075180"/>
        </a:xfrm>
        <a:prstGeom prst="rect">
          <a:avLst/>
        </a:prstGeom>
        <a:noFill/>
        <a:ln w="9525">
          <a:noFill/>
        </a:ln>
      </xdr:spPr>
    </xdr:pic>
  </etc:cellImage>
  <etc:cellImage>
    <xdr:pic>
      <xdr:nvPicPr>
        <xdr:cNvPr id="177" name="ID_50EF3466856344448FAC8E1FD9778475" descr="6c5a34145c659542c64d514ec7fe4cd"/>
        <xdr:cNvPicPr>
          <a:picLocks noChangeAspect="1"/>
        </xdr:cNvPicPr>
      </xdr:nvPicPr>
      <xdr:blipFill>
        <a:blip r:embed="rId166"/>
        <a:stretch>
          <a:fillRect/>
        </a:stretch>
      </xdr:blipFill>
      <xdr:spPr>
        <a:xfrm>
          <a:off x="12382500" y="367868200"/>
          <a:ext cx="2049780" cy="2049145"/>
        </a:xfrm>
        <a:prstGeom prst="rect">
          <a:avLst/>
        </a:prstGeom>
        <a:noFill/>
        <a:ln w="9525">
          <a:noFill/>
        </a:ln>
      </xdr:spPr>
    </xdr:pic>
  </etc:cellImage>
  <etc:cellImage>
    <xdr:pic>
      <xdr:nvPicPr>
        <xdr:cNvPr id="178" name="ID_BE8FA4B4DB054C45BF1A3F1802953ECD"/>
        <xdr:cNvPicPr>
          <a:picLocks noChangeAspect="1"/>
        </xdr:cNvPicPr>
      </xdr:nvPicPr>
      <xdr:blipFill>
        <a:blip r:embed="rId167"/>
        <a:srcRect l="16957" t="16078" r="17154" b="45911"/>
        <a:stretch>
          <a:fillRect/>
        </a:stretch>
      </xdr:blipFill>
      <xdr:spPr>
        <a:xfrm>
          <a:off x="12407265" y="467249510"/>
          <a:ext cx="2002155" cy="1922780"/>
        </a:xfrm>
        <a:prstGeom prst="rect">
          <a:avLst/>
        </a:prstGeom>
        <a:noFill/>
        <a:ln w="9525">
          <a:noFill/>
        </a:ln>
      </xdr:spPr>
    </xdr:pic>
  </etc:cellImage>
  <etc:cellImage>
    <xdr:pic>
      <xdr:nvPicPr>
        <xdr:cNvPr id="179" name="ID_EA97C4C609B44A8183268005AACD629F" descr="农家土鸡蛋"/>
        <xdr:cNvPicPr>
          <a:picLocks noChangeAspect="1"/>
        </xdr:cNvPicPr>
      </xdr:nvPicPr>
      <xdr:blipFill>
        <a:blip r:embed="rId168"/>
        <a:stretch>
          <a:fillRect/>
        </a:stretch>
      </xdr:blipFill>
      <xdr:spPr>
        <a:xfrm>
          <a:off x="12378055" y="190838455"/>
          <a:ext cx="2060575" cy="2040890"/>
        </a:xfrm>
        <a:prstGeom prst="rect">
          <a:avLst/>
        </a:prstGeom>
        <a:noFill/>
        <a:ln w="9525">
          <a:noFill/>
        </a:ln>
      </xdr:spPr>
    </xdr:pic>
  </etc:cellImage>
  <etc:cellImage>
    <xdr:pic>
      <xdr:nvPicPr>
        <xdr:cNvPr id="180" name="ID_10EEFFC0A5C74CB697E47E4EE9D66922"/>
        <xdr:cNvPicPr>
          <a:picLocks noChangeAspect="1"/>
        </xdr:cNvPicPr>
      </xdr:nvPicPr>
      <xdr:blipFill>
        <a:blip r:embed="rId169"/>
        <a:srcRect l="6747" t="9886" r="3427" b="10143"/>
        <a:stretch>
          <a:fillRect/>
        </a:stretch>
      </xdr:blipFill>
      <xdr:spPr>
        <a:xfrm>
          <a:off x="12374245" y="192980310"/>
          <a:ext cx="2068195" cy="2075180"/>
        </a:xfrm>
        <a:prstGeom prst="rect">
          <a:avLst/>
        </a:prstGeom>
        <a:noFill/>
        <a:ln w="9525">
          <a:noFill/>
        </a:ln>
      </xdr:spPr>
    </xdr:pic>
  </etc:cellImage>
  <etc:cellImage>
    <xdr:pic>
      <xdr:nvPicPr>
        <xdr:cNvPr id="181" name="ID_2AF8AEC52FBF439194A09B1D23FBFCC9"/>
        <xdr:cNvPicPr>
          <a:picLocks noChangeAspect="1"/>
        </xdr:cNvPicPr>
      </xdr:nvPicPr>
      <xdr:blipFill>
        <a:blip r:embed="rId170"/>
        <a:stretch>
          <a:fillRect/>
        </a:stretch>
      </xdr:blipFill>
      <xdr:spPr>
        <a:xfrm>
          <a:off x="12355195" y="204070585"/>
          <a:ext cx="2106295" cy="1484630"/>
        </a:xfrm>
        <a:prstGeom prst="rect">
          <a:avLst/>
        </a:prstGeom>
        <a:noFill/>
        <a:ln w="9525">
          <a:noFill/>
        </a:ln>
      </xdr:spPr>
    </xdr:pic>
  </etc:cellImage>
  <etc:cellImage>
    <xdr:pic>
      <xdr:nvPicPr>
        <xdr:cNvPr id="182" name="ID_0E70132BAED341DFAC5707C035250707"/>
        <xdr:cNvPicPr>
          <a:picLocks noChangeAspect="1"/>
        </xdr:cNvPicPr>
      </xdr:nvPicPr>
      <xdr:blipFill>
        <a:blip r:embed="rId171"/>
        <a:stretch>
          <a:fillRect/>
        </a:stretch>
      </xdr:blipFill>
      <xdr:spPr>
        <a:xfrm>
          <a:off x="12380595" y="208093310"/>
          <a:ext cx="2055495" cy="2066290"/>
        </a:xfrm>
        <a:prstGeom prst="rect">
          <a:avLst/>
        </a:prstGeom>
        <a:noFill/>
        <a:ln w="9525">
          <a:noFill/>
        </a:ln>
      </xdr:spPr>
    </xdr:pic>
  </etc:cellImage>
  <etc:cellImage>
    <xdr:pic>
      <xdr:nvPicPr>
        <xdr:cNvPr id="183" name="ID_F4C27FB3028E4AECB895CC08F533694B"/>
        <xdr:cNvPicPr>
          <a:picLocks noChangeAspect="1"/>
        </xdr:cNvPicPr>
      </xdr:nvPicPr>
      <xdr:blipFill>
        <a:blip r:embed="rId172"/>
        <a:stretch>
          <a:fillRect/>
        </a:stretch>
      </xdr:blipFill>
      <xdr:spPr>
        <a:xfrm>
          <a:off x="12382500" y="309575200"/>
          <a:ext cx="2051685" cy="2049145"/>
        </a:xfrm>
        <a:prstGeom prst="rect">
          <a:avLst/>
        </a:prstGeom>
        <a:noFill/>
        <a:ln w="9525">
          <a:noFill/>
        </a:ln>
      </xdr:spPr>
    </xdr:pic>
  </etc:cellImage>
  <etc:cellImage>
    <xdr:pic>
      <xdr:nvPicPr>
        <xdr:cNvPr id="184" name="ID_BB3F661560984D449D264306D64962B8" descr="8f219e5e77d38ae4ec959db5825566d1"/>
        <xdr:cNvPicPr>
          <a:picLocks noChangeAspect="1"/>
        </xdr:cNvPicPr>
      </xdr:nvPicPr>
      <xdr:blipFill>
        <a:blip r:embed="rId173"/>
        <a:stretch>
          <a:fillRect/>
        </a:stretch>
      </xdr:blipFill>
      <xdr:spPr>
        <a:xfrm>
          <a:off x="12811760" y="821224545"/>
          <a:ext cx="1193165" cy="2124710"/>
        </a:xfrm>
        <a:prstGeom prst="rect">
          <a:avLst/>
        </a:prstGeom>
        <a:noFill/>
        <a:ln w="9525">
          <a:noFill/>
        </a:ln>
      </xdr:spPr>
    </xdr:pic>
  </etc:cellImage>
  <etc:cellImage>
    <xdr:pic>
      <xdr:nvPicPr>
        <xdr:cNvPr id="185" name="ID_D64D68FEDECB4770943C41E6B522C4A7"/>
        <xdr:cNvPicPr>
          <a:picLocks noChangeAspect="1"/>
        </xdr:cNvPicPr>
      </xdr:nvPicPr>
      <xdr:blipFill>
        <a:blip r:embed="rId174"/>
        <a:srcRect l="8884" t="23206" r="11368" b="37361"/>
        <a:stretch>
          <a:fillRect/>
        </a:stretch>
      </xdr:blipFill>
      <xdr:spPr>
        <a:xfrm>
          <a:off x="12371705" y="922747710"/>
          <a:ext cx="2075180" cy="2024380"/>
        </a:xfrm>
        <a:prstGeom prst="rect">
          <a:avLst/>
        </a:prstGeom>
        <a:noFill/>
        <a:ln w="9525">
          <a:noFill/>
        </a:ln>
      </xdr:spPr>
    </xdr:pic>
  </etc:cellImage>
  <etc:cellImage>
    <xdr:pic>
      <xdr:nvPicPr>
        <xdr:cNvPr id="186" name="ID_6512B3BE8E8148D0809C2DD0381D3369" descr="鲈鱼"/>
        <xdr:cNvPicPr>
          <a:picLocks noChangeAspect="1"/>
        </xdr:cNvPicPr>
      </xdr:nvPicPr>
      <xdr:blipFill>
        <a:blip r:embed="rId175"/>
        <a:stretch>
          <a:fillRect/>
        </a:stretch>
      </xdr:blipFill>
      <xdr:spPr>
        <a:xfrm>
          <a:off x="12371705" y="212420200"/>
          <a:ext cx="2072640" cy="2057400"/>
        </a:xfrm>
        <a:prstGeom prst="rect">
          <a:avLst/>
        </a:prstGeom>
        <a:noFill/>
        <a:ln w="9525">
          <a:noFill/>
        </a:ln>
      </xdr:spPr>
    </xdr:pic>
  </etc:cellImage>
  <etc:cellImage>
    <xdr:pic>
      <xdr:nvPicPr>
        <xdr:cNvPr id="187" name="ID_BD61F884965F4AE19DEC817C124D6579"/>
        <xdr:cNvPicPr>
          <a:picLocks noChangeAspect="1"/>
        </xdr:cNvPicPr>
      </xdr:nvPicPr>
      <xdr:blipFill>
        <a:blip r:embed="rId176"/>
        <a:stretch>
          <a:fillRect/>
        </a:stretch>
      </xdr:blipFill>
      <xdr:spPr>
        <a:xfrm>
          <a:off x="12626340" y="378646055"/>
          <a:ext cx="1564005" cy="2091690"/>
        </a:xfrm>
        <a:prstGeom prst="rect">
          <a:avLst/>
        </a:prstGeom>
        <a:noFill/>
        <a:ln w="9525">
          <a:noFill/>
        </a:ln>
      </xdr:spPr>
    </xdr:pic>
  </etc:cellImage>
  <etc:cellImage>
    <xdr:pic>
      <xdr:nvPicPr>
        <xdr:cNvPr id="188" name="ID_C3AA5D06843945C0811EEA62FD4225EF" descr="香菇"/>
        <xdr:cNvPicPr>
          <a:picLocks noChangeAspect="1"/>
        </xdr:cNvPicPr>
      </xdr:nvPicPr>
      <xdr:blipFill>
        <a:blip r:embed="rId177"/>
        <a:stretch>
          <a:fillRect/>
        </a:stretch>
      </xdr:blipFill>
      <xdr:spPr>
        <a:xfrm>
          <a:off x="12378055" y="1101928200"/>
          <a:ext cx="2060575" cy="2057400"/>
        </a:xfrm>
        <a:prstGeom prst="rect">
          <a:avLst/>
        </a:prstGeom>
        <a:noFill/>
        <a:ln w="9525">
          <a:noFill/>
        </a:ln>
      </xdr:spPr>
    </xdr:pic>
  </etc:cellImage>
  <etc:cellImage>
    <xdr:pic>
      <xdr:nvPicPr>
        <xdr:cNvPr id="189" name="ID_B8B7945B7AA14C39A3FB1DADA78D1F64"/>
        <xdr:cNvPicPr>
          <a:picLocks noChangeAspect="1"/>
        </xdr:cNvPicPr>
      </xdr:nvPicPr>
      <xdr:blipFill>
        <a:blip r:embed="rId178"/>
        <a:stretch>
          <a:fillRect/>
        </a:stretch>
      </xdr:blipFill>
      <xdr:spPr>
        <a:xfrm>
          <a:off x="12430125" y="219099130"/>
          <a:ext cx="2025015" cy="1687195"/>
        </a:xfrm>
        <a:prstGeom prst="rect">
          <a:avLst/>
        </a:prstGeom>
        <a:noFill/>
        <a:ln w="9525">
          <a:noFill/>
        </a:ln>
      </xdr:spPr>
    </xdr:pic>
  </etc:cellImage>
  <etc:cellImage>
    <xdr:pic>
      <xdr:nvPicPr>
        <xdr:cNvPr id="190" name="ID_E0C61A328D714904870559FB38221DB6" descr="保宁异型一级醋"/>
        <xdr:cNvPicPr>
          <a:picLocks noChangeAspect="1"/>
        </xdr:cNvPicPr>
      </xdr:nvPicPr>
      <xdr:blipFill>
        <a:blip r:embed="rId179"/>
        <a:srcRect l="17442" t="7787" r="19893" b="2628"/>
        <a:stretch>
          <a:fillRect/>
        </a:stretch>
      </xdr:blipFill>
      <xdr:spPr>
        <a:xfrm>
          <a:off x="12551410" y="221056200"/>
          <a:ext cx="1716405" cy="2057400"/>
        </a:xfrm>
        <a:prstGeom prst="rect">
          <a:avLst/>
        </a:prstGeom>
        <a:noFill/>
        <a:ln w="9525">
          <a:noFill/>
        </a:ln>
      </xdr:spPr>
    </xdr:pic>
  </etc:cellImage>
  <etc:cellImage>
    <xdr:pic>
      <xdr:nvPicPr>
        <xdr:cNvPr id="191" name="ID_A5C467B60F36445AB5C85672306CCCA7"/>
        <xdr:cNvPicPr>
          <a:picLocks noChangeAspect="1"/>
        </xdr:cNvPicPr>
      </xdr:nvPicPr>
      <xdr:blipFill>
        <a:blip r:embed="rId180"/>
        <a:stretch>
          <a:fillRect/>
        </a:stretch>
      </xdr:blipFill>
      <xdr:spPr>
        <a:xfrm>
          <a:off x="12371705" y="223206310"/>
          <a:ext cx="2054225" cy="2091690"/>
        </a:xfrm>
        <a:prstGeom prst="rect">
          <a:avLst/>
        </a:prstGeom>
        <a:noFill/>
        <a:ln w="9525">
          <a:noFill/>
        </a:ln>
      </xdr:spPr>
    </xdr:pic>
  </etc:cellImage>
  <etc:cellImage>
    <xdr:pic>
      <xdr:nvPicPr>
        <xdr:cNvPr id="192" name="ID_BA099FCBE43D43E39BF0995A18ED3118"/>
        <xdr:cNvPicPr>
          <a:picLocks noChangeAspect="1"/>
        </xdr:cNvPicPr>
      </xdr:nvPicPr>
      <xdr:blipFill>
        <a:blip r:embed="rId181"/>
        <a:srcRect t="15657" b="12057"/>
        <a:stretch>
          <a:fillRect/>
        </a:stretch>
      </xdr:blipFill>
      <xdr:spPr>
        <a:xfrm>
          <a:off x="12407265" y="227600510"/>
          <a:ext cx="2002155" cy="1922780"/>
        </a:xfrm>
        <a:prstGeom prst="rect">
          <a:avLst/>
        </a:prstGeom>
        <a:noFill/>
        <a:ln w="9525">
          <a:noFill/>
        </a:ln>
      </xdr:spPr>
    </xdr:pic>
  </etc:cellImage>
  <etc:cellImage>
    <xdr:pic>
      <xdr:nvPicPr>
        <xdr:cNvPr id="193" name="ID_DC6BED516C9C4A03BB2BB2D000B3830B" descr="d:\Documents\Tencent Files\1127093937\nt_qq\nt_data\Pic\2025-09\Ori\f6d18e11c9da2d58419cc88e70c11aab.jpg"/>
        <xdr:cNvPicPr>
          <a:picLocks noChangeAspect="1"/>
        </xdr:cNvPicPr>
      </xdr:nvPicPr>
      <xdr:blipFill>
        <a:blip r:embed="rId182"/>
        <a:stretch>
          <a:fillRect/>
        </a:stretch>
      </xdr:blipFill>
      <xdr:spPr>
        <a:xfrm>
          <a:off x="12642850" y="231859455"/>
          <a:ext cx="1530985" cy="2040890"/>
        </a:xfrm>
        <a:prstGeom prst="rect">
          <a:avLst/>
        </a:prstGeom>
        <a:noFill/>
        <a:ln w="9525">
          <a:noFill/>
        </a:ln>
      </xdr:spPr>
    </xdr:pic>
  </etc:cellImage>
  <etc:cellImage>
    <xdr:pic>
      <xdr:nvPicPr>
        <xdr:cNvPr id="194" name="ID_97CB50B517B742E0A496869AE22B5B66" descr="二荆条"/>
        <xdr:cNvPicPr>
          <a:picLocks noChangeAspect="1"/>
        </xdr:cNvPicPr>
      </xdr:nvPicPr>
      <xdr:blipFill>
        <a:blip r:embed="rId183"/>
        <a:stretch>
          <a:fillRect/>
        </a:stretch>
      </xdr:blipFill>
      <xdr:spPr>
        <a:xfrm>
          <a:off x="12374245" y="1060890055"/>
          <a:ext cx="2066290" cy="2083435"/>
        </a:xfrm>
        <a:prstGeom prst="rect">
          <a:avLst/>
        </a:prstGeom>
        <a:noFill/>
        <a:ln w="9525">
          <a:noFill/>
        </a:ln>
      </xdr:spPr>
    </xdr:pic>
  </etc:cellImage>
  <etc:cellImage>
    <xdr:pic>
      <xdr:nvPicPr>
        <xdr:cNvPr id="195" name="ID_DEBEE41D44E6470282A1D24B798DE527" descr="u=2537447376,979908439&amp;fm=224&amp;app=112&amp;f=JPEG"/>
        <xdr:cNvPicPr>
          <a:picLocks noChangeAspect="1"/>
        </xdr:cNvPicPr>
      </xdr:nvPicPr>
      <xdr:blipFill>
        <a:blip r:embed="rId184"/>
        <a:stretch>
          <a:fillRect/>
        </a:stretch>
      </xdr:blipFill>
      <xdr:spPr>
        <a:xfrm>
          <a:off x="12359640" y="236152055"/>
          <a:ext cx="2095500" cy="2091690"/>
        </a:xfrm>
        <a:prstGeom prst="rect">
          <a:avLst/>
        </a:prstGeom>
        <a:noFill/>
        <a:ln w="9525">
          <a:noFill/>
        </a:ln>
      </xdr:spPr>
    </xdr:pic>
  </etc:cellImage>
  <etc:cellImage>
    <xdr:pic>
      <xdr:nvPicPr>
        <xdr:cNvPr id="196" name="ID_1F23FF9A8F7D4BE7BC4A345CA2F67FBD"/>
        <xdr:cNvPicPr>
          <a:picLocks noChangeAspect="1"/>
        </xdr:cNvPicPr>
      </xdr:nvPicPr>
      <xdr:blipFill>
        <a:blip r:embed="rId185"/>
        <a:stretch>
          <a:fillRect/>
        </a:stretch>
      </xdr:blipFill>
      <xdr:spPr>
        <a:xfrm>
          <a:off x="12395200" y="339809455"/>
          <a:ext cx="2028825" cy="2032635"/>
        </a:xfrm>
        <a:prstGeom prst="rect">
          <a:avLst/>
        </a:prstGeom>
        <a:noFill/>
        <a:ln w="9525">
          <a:noFill/>
        </a:ln>
      </xdr:spPr>
    </xdr:pic>
  </etc:cellImage>
  <etc:cellImage>
    <xdr:pic>
      <xdr:nvPicPr>
        <xdr:cNvPr id="197" name="ID_2A7729A23D494333BD1C50FA43C376B0" descr="脆莲白"/>
        <xdr:cNvPicPr>
          <a:picLocks noChangeAspect="1"/>
        </xdr:cNvPicPr>
      </xdr:nvPicPr>
      <xdr:blipFill>
        <a:blip r:embed="rId186"/>
        <a:stretch>
          <a:fillRect/>
        </a:stretch>
      </xdr:blipFill>
      <xdr:spPr>
        <a:xfrm>
          <a:off x="12374245" y="1011250200"/>
          <a:ext cx="2066290" cy="2049145"/>
        </a:xfrm>
        <a:prstGeom prst="rect">
          <a:avLst/>
        </a:prstGeom>
        <a:noFill/>
        <a:ln w="9525">
          <a:noFill/>
        </a:ln>
      </xdr:spPr>
    </xdr:pic>
  </etc:cellImage>
  <etc:cellImage>
    <xdr:pic>
      <xdr:nvPicPr>
        <xdr:cNvPr id="198" name="ID_CD3A45C116074D32B83C3FD16477FCE1"/>
        <xdr:cNvPicPr>
          <a:picLocks noChangeAspect="1"/>
        </xdr:cNvPicPr>
      </xdr:nvPicPr>
      <xdr:blipFill>
        <a:blip r:embed="rId187"/>
        <a:stretch>
          <a:fillRect/>
        </a:stretch>
      </xdr:blipFill>
      <xdr:spPr>
        <a:xfrm>
          <a:off x="12386310" y="240453545"/>
          <a:ext cx="2043430" cy="2124710"/>
        </a:xfrm>
        <a:prstGeom prst="rect">
          <a:avLst/>
        </a:prstGeom>
        <a:noFill/>
        <a:ln w="9525">
          <a:noFill/>
        </a:ln>
      </xdr:spPr>
    </xdr:pic>
  </etc:cellImage>
  <etc:cellImage>
    <xdr:pic>
      <xdr:nvPicPr>
        <xdr:cNvPr id="199" name="ID_E8214059CECF4BF1BC417708A066E6C0"/>
        <xdr:cNvPicPr>
          <a:picLocks noChangeAspect="1"/>
        </xdr:cNvPicPr>
      </xdr:nvPicPr>
      <xdr:blipFill>
        <a:blip r:embed="rId188"/>
        <a:srcRect l="7509" t="8202" b="11446"/>
        <a:stretch>
          <a:fillRect/>
        </a:stretch>
      </xdr:blipFill>
      <xdr:spPr>
        <a:xfrm>
          <a:off x="12359640" y="242646200"/>
          <a:ext cx="2097405" cy="2049145"/>
        </a:xfrm>
        <a:prstGeom prst="rect">
          <a:avLst/>
        </a:prstGeom>
        <a:noFill/>
        <a:ln w="9525">
          <a:noFill/>
        </a:ln>
      </xdr:spPr>
    </xdr:pic>
  </etc:cellImage>
  <etc:cellImage>
    <xdr:pic>
      <xdr:nvPicPr>
        <xdr:cNvPr id="200" name="ID_E49552A7039F4B8585D4EAD562EB99DF" descr="t044f321a12430af7c7"/>
        <xdr:cNvPicPr>
          <a:picLocks noChangeAspect="1"/>
        </xdr:cNvPicPr>
      </xdr:nvPicPr>
      <xdr:blipFill>
        <a:blip r:embed="rId189"/>
        <a:stretch>
          <a:fillRect/>
        </a:stretch>
      </xdr:blipFill>
      <xdr:spPr>
        <a:xfrm>
          <a:off x="12355195" y="346252800"/>
          <a:ext cx="2106295" cy="2108200"/>
        </a:xfrm>
        <a:prstGeom prst="rect">
          <a:avLst/>
        </a:prstGeom>
        <a:noFill/>
        <a:ln w="9525">
          <a:noFill/>
        </a:ln>
      </xdr:spPr>
    </xdr:pic>
  </etc:cellImage>
  <etc:cellImage>
    <xdr:pic>
      <xdr:nvPicPr>
        <xdr:cNvPr id="201" name="ID_51EAB1F2C32F44F0A4CED1D63745A20F"/>
        <xdr:cNvPicPr>
          <a:picLocks noChangeAspect="1"/>
        </xdr:cNvPicPr>
      </xdr:nvPicPr>
      <xdr:blipFill>
        <a:blip r:embed="rId190"/>
        <a:stretch>
          <a:fillRect/>
        </a:stretch>
      </xdr:blipFill>
      <xdr:spPr>
        <a:xfrm>
          <a:off x="12380595" y="292303200"/>
          <a:ext cx="2055495" cy="2057400"/>
        </a:xfrm>
        <a:prstGeom prst="rect">
          <a:avLst/>
        </a:prstGeom>
        <a:noFill/>
        <a:ln w="9525">
          <a:noFill/>
        </a:ln>
      </xdr:spPr>
    </xdr:pic>
  </etc:cellImage>
  <etc:cellImage>
    <xdr:pic>
      <xdr:nvPicPr>
        <xdr:cNvPr id="202" name="ID_53F8C6B991C64E599F55A70FB732D4DF"/>
        <xdr:cNvPicPr>
          <a:picLocks noChangeAspect="1"/>
        </xdr:cNvPicPr>
      </xdr:nvPicPr>
      <xdr:blipFill>
        <a:blip r:embed="rId191"/>
        <a:srcRect l="41225" t="1927" r="17041" b="24352"/>
        <a:stretch>
          <a:fillRect/>
        </a:stretch>
      </xdr:blipFill>
      <xdr:spPr>
        <a:xfrm>
          <a:off x="12694920" y="244796310"/>
          <a:ext cx="1426845" cy="2075180"/>
        </a:xfrm>
        <a:prstGeom prst="rect">
          <a:avLst/>
        </a:prstGeom>
        <a:noFill/>
        <a:ln w="9525">
          <a:noFill/>
        </a:ln>
      </xdr:spPr>
    </xdr:pic>
  </etc:cellImage>
  <etc:cellImage>
    <xdr:pic>
      <xdr:nvPicPr>
        <xdr:cNvPr id="203" name="ID_D9E11B9D79D34360B1E9C785B88F3680" descr="23476906036"/>
        <xdr:cNvPicPr>
          <a:picLocks noChangeAspect="1"/>
        </xdr:cNvPicPr>
      </xdr:nvPicPr>
      <xdr:blipFill>
        <a:blip r:embed="rId192"/>
        <a:stretch>
          <a:fillRect/>
        </a:stretch>
      </xdr:blipFill>
      <xdr:spPr>
        <a:xfrm>
          <a:off x="12455525" y="348403545"/>
          <a:ext cx="1751330" cy="2124710"/>
        </a:xfrm>
        <a:prstGeom prst="rect">
          <a:avLst/>
        </a:prstGeom>
        <a:noFill/>
        <a:ln w="9525">
          <a:noFill/>
        </a:ln>
      </xdr:spPr>
    </xdr:pic>
  </etc:cellImage>
  <etc:cellImage>
    <xdr:pic>
      <xdr:nvPicPr>
        <xdr:cNvPr id="204" name="ID_32556BC419AC4357B28299FCEC672307" descr="千张豆腐"/>
        <xdr:cNvPicPr>
          <a:picLocks noChangeAspect="1"/>
        </xdr:cNvPicPr>
      </xdr:nvPicPr>
      <xdr:blipFill>
        <a:blip r:embed="rId193"/>
        <a:stretch>
          <a:fillRect/>
        </a:stretch>
      </xdr:blipFill>
      <xdr:spPr>
        <a:xfrm>
          <a:off x="12359640" y="855793310"/>
          <a:ext cx="2097405" cy="2075180"/>
        </a:xfrm>
        <a:prstGeom prst="rect">
          <a:avLst/>
        </a:prstGeom>
        <a:noFill/>
        <a:ln w="9525">
          <a:noFill/>
        </a:ln>
      </xdr:spPr>
    </xdr:pic>
  </etc:cellImage>
  <etc:cellImage>
    <xdr:pic>
      <xdr:nvPicPr>
        <xdr:cNvPr id="205" name="ID_24479D5BFBEA480C96754896CEB06204" descr="牛心白"/>
        <xdr:cNvPicPr>
          <a:picLocks noChangeAspect="1"/>
        </xdr:cNvPicPr>
      </xdr:nvPicPr>
      <xdr:blipFill>
        <a:blip r:embed="rId194"/>
        <a:stretch>
          <a:fillRect/>
        </a:stretch>
      </xdr:blipFill>
      <xdr:spPr>
        <a:xfrm>
          <a:off x="12376150" y="957275200"/>
          <a:ext cx="2062480" cy="2057400"/>
        </a:xfrm>
        <a:prstGeom prst="rect">
          <a:avLst/>
        </a:prstGeom>
        <a:noFill/>
        <a:ln w="9525">
          <a:noFill/>
        </a:ln>
      </xdr:spPr>
    </xdr:pic>
  </etc:cellImage>
  <etc:cellImage>
    <xdr:pic>
      <xdr:nvPicPr>
        <xdr:cNvPr id="206" name="ID_5A547F85E47E40ACACAAF63FD1661902" descr="406aaabd4a2c23d0417ccbdc3630d42"/>
        <xdr:cNvPicPr>
          <a:picLocks noChangeAspect="1"/>
        </xdr:cNvPicPr>
      </xdr:nvPicPr>
      <xdr:blipFill>
        <a:blip r:embed="rId195"/>
        <a:stretch>
          <a:fillRect/>
        </a:stretch>
      </xdr:blipFill>
      <xdr:spPr>
        <a:xfrm>
          <a:off x="12615545" y="249089545"/>
          <a:ext cx="1585595" cy="2124710"/>
        </a:xfrm>
        <a:prstGeom prst="rect">
          <a:avLst/>
        </a:prstGeom>
        <a:noFill/>
        <a:ln w="9525">
          <a:noFill/>
        </a:ln>
      </xdr:spPr>
    </xdr:pic>
  </etc:cellImage>
  <etc:cellImage>
    <xdr:pic>
      <xdr:nvPicPr>
        <xdr:cNvPr id="207" name="ID_16669D1A071A4B5188502582D112674C" descr="1758450145421"/>
        <xdr:cNvPicPr>
          <a:picLocks noChangeAspect="1"/>
        </xdr:cNvPicPr>
      </xdr:nvPicPr>
      <xdr:blipFill>
        <a:blip r:embed="rId196"/>
        <a:stretch>
          <a:fillRect/>
        </a:stretch>
      </xdr:blipFill>
      <xdr:spPr>
        <a:xfrm>
          <a:off x="12355195" y="255574800"/>
          <a:ext cx="2106295" cy="2108200"/>
        </a:xfrm>
        <a:prstGeom prst="rect">
          <a:avLst/>
        </a:prstGeom>
        <a:noFill/>
        <a:ln w="9525">
          <a:noFill/>
        </a:ln>
      </xdr:spPr>
    </xdr:pic>
  </etc:cellImage>
  <etc:cellImage>
    <xdr:pic>
      <xdr:nvPicPr>
        <xdr:cNvPr id="208" name="ID_EC0B65F694604507B1B6639A22DB2346"/>
        <xdr:cNvPicPr>
          <a:picLocks noChangeAspect="1"/>
        </xdr:cNvPicPr>
      </xdr:nvPicPr>
      <xdr:blipFill>
        <a:blip r:embed="rId197"/>
        <a:srcRect l="28592" t="4570" r="27423" b="4245"/>
        <a:stretch>
          <a:fillRect/>
        </a:stretch>
      </xdr:blipFill>
      <xdr:spPr>
        <a:xfrm>
          <a:off x="12746990" y="439106310"/>
          <a:ext cx="1320800" cy="2075180"/>
        </a:xfrm>
        <a:prstGeom prst="rect">
          <a:avLst/>
        </a:prstGeom>
        <a:noFill/>
        <a:ln w="9525">
          <a:noFill/>
        </a:ln>
      </xdr:spPr>
    </xdr:pic>
  </etc:cellImage>
  <etc:cellImage>
    <xdr:pic>
      <xdr:nvPicPr>
        <xdr:cNvPr id="209" name="ID_4C7F1E571F6F4C2B872F97A2B47F8749"/>
        <xdr:cNvPicPr>
          <a:picLocks noChangeAspect="1"/>
        </xdr:cNvPicPr>
      </xdr:nvPicPr>
      <xdr:blipFill>
        <a:blip r:embed="rId198"/>
        <a:srcRect l="11581" t="14999" r="6665" b="6306"/>
        <a:stretch>
          <a:fillRect/>
        </a:stretch>
      </xdr:blipFill>
      <xdr:spPr>
        <a:xfrm>
          <a:off x="12363450" y="389449310"/>
          <a:ext cx="2089150" cy="2066290"/>
        </a:xfrm>
        <a:prstGeom prst="rect">
          <a:avLst/>
        </a:prstGeom>
        <a:noFill/>
        <a:ln w="9525">
          <a:noFill/>
        </a:ln>
      </xdr:spPr>
    </xdr:pic>
  </etc:cellImage>
  <etc:cellImage>
    <xdr:pic>
      <xdr:nvPicPr>
        <xdr:cNvPr id="210" name="ID_A4D18CD46C984229BB3FE9AFF0DA3750"/>
        <xdr:cNvPicPr>
          <a:picLocks noChangeAspect="1"/>
        </xdr:cNvPicPr>
      </xdr:nvPicPr>
      <xdr:blipFill>
        <a:blip r:embed="rId199"/>
        <a:stretch>
          <a:fillRect/>
        </a:stretch>
      </xdr:blipFill>
      <xdr:spPr>
        <a:xfrm>
          <a:off x="12397105" y="260356350"/>
          <a:ext cx="2022475" cy="1172210"/>
        </a:xfrm>
        <a:prstGeom prst="rect">
          <a:avLst/>
        </a:prstGeom>
        <a:noFill/>
        <a:ln w="9525">
          <a:noFill/>
        </a:ln>
      </xdr:spPr>
    </xdr:pic>
  </etc:cellImage>
  <etc:cellImage>
    <xdr:pic>
      <xdr:nvPicPr>
        <xdr:cNvPr id="211" name="ID_6E6BB80CE9F345578CE6F9A74D2EEF64"/>
        <xdr:cNvPicPr>
          <a:picLocks noChangeAspect="1"/>
        </xdr:cNvPicPr>
      </xdr:nvPicPr>
      <xdr:blipFill>
        <a:blip r:embed="rId200"/>
        <a:stretch>
          <a:fillRect/>
        </a:stretch>
      </xdr:blipFill>
      <xdr:spPr>
        <a:xfrm>
          <a:off x="12386310" y="870906310"/>
          <a:ext cx="2043430" cy="2075180"/>
        </a:xfrm>
        <a:prstGeom prst="rect">
          <a:avLst/>
        </a:prstGeom>
        <a:noFill/>
        <a:ln w="9525">
          <a:noFill/>
        </a:ln>
      </xdr:spPr>
    </xdr:pic>
  </etc:cellImage>
  <etc:cellImage>
    <xdr:pic>
      <xdr:nvPicPr>
        <xdr:cNvPr id="212" name="ID_1F9DFC62138F4DABA51643045C8DCCCB"/>
        <xdr:cNvPicPr>
          <a:picLocks noChangeAspect="1"/>
        </xdr:cNvPicPr>
      </xdr:nvPicPr>
      <xdr:blipFill>
        <a:blip r:embed="rId201"/>
        <a:stretch>
          <a:fillRect/>
        </a:stretch>
      </xdr:blipFill>
      <xdr:spPr>
        <a:xfrm>
          <a:off x="12369800" y="262068310"/>
          <a:ext cx="2077085" cy="2066290"/>
        </a:xfrm>
        <a:prstGeom prst="rect">
          <a:avLst/>
        </a:prstGeom>
        <a:noFill/>
        <a:ln w="9525">
          <a:noFill/>
        </a:ln>
      </xdr:spPr>
    </xdr:pic>
  </etc:cellImage>
  <etc:cellImage>
    <xdr:pic>
      <xdr:nvPicPr>
        <xdr:cNvPr id="213" name="ID_B7D84E63401142DB8D7AA5939A103E02"/>
        <xdr:cNvPicPr>
          <a:picLocks noChangeAspect="1"/>
        </xdr:cNvPicPr>
      </xdr:nvPicPr>
      <xdr:blipFill>
        <a:blip r:embed="rId202"/>
        <a:srcRect l="8878" t="21664" r="11006" b="37389"/>
        <a:stretch>
          <a:fillRect/>
        </a:stretch>
      </xdr:blipFill>
      <xdr:spPr>
        <a:xfrm>
          <a:off x="12386310" y="264311765"/>
          <a:ext cx="2043430" cy="1898015"/>
        </a:xfrm>
        <a:prstGeom prst="rect">
          <a:avLst/>
        </a:prstGeom>
        <a:noFill/>
        <a:ln w="9525">
          <a:noFill/>
        </a:ln>
      </xdr:spPr>
    </xdr:pic>
  </etc:cellImage>
  <etc:cellImage>
    <xdr:pic>
      <xdr:nvPicPr>
        <xdr:cNvPr id="214" name="ID_98B7FA543C6B4345A421D42CCD440756" descr="10407C388693B2050F64AC464FA1D650"/>
        <xdr:cNvPicPr>
          <a:picLocks noChangeAspect="1"/>
        </xdr:cNvPicPr>
      </xdr:nvPicPr>
      <xdr:blipFill>
        <a:blip r:embed="rId203"/>
        <a:srcRect l="4156" t="31110" r="5313" b="26122"/>
        <a:stretch>
          <a:fillRect/>
        </a:stretch>
      </xdr:blipFill>
      <xdr:spPr>
        <a:xfrm>
          <a:off x="12480290" y="270763365"/>
          <a:ext cx="1856105" cy="1948180"/>
        </a:xfrm>
        <a:prstGeom prst="rect">
          <a:avLst/>
        </a:prstGeom>
        <a:noFill/>
        <a:ln w="9525">
          <a:noFill/>
        </a:ln>
      </xdr:spPr>
    </xdr:pic>
  </etc:cellImage>
  <etc:cellImage>
    <xdr:pic>
      <xdr:nvPicPr>
        <xdr:cNvPr id="215" name="ID_741CCD58C3AD4C0DA7138F6395C89871"/>
        <xdr:cNvPicPr>
          <a:picLocks noChangeAspect="1"/>
        </xdr:cNvPicPr>
      </xdr:nvPicPr>
      <xdr:blipFill>
        <a:blip r:embed="rId204"/>
        <a:srcRect l="11049" t="15852" r="6035" b="8769"/>
        <a:stretch>
          <a:fillRect/>
        </a:stretch>
      </xdr:blipFill>
      <xdr:spPr>
        <a:xfrm>
          <a:off x="12365990" y="1045794200"/>
          <a:ext cx="2084705" cy="2057400"/>
        </a:xfrm>
        <a:prstGeom prst="rect">
          <a:avLst/>
        </a:prstGeom>
        <a:noFill/>
        <a:ln w="9525">
          <a:noFill/>
        </a:ln>
      </xdr:spPr>
    </xdr:pic>
  </etc:cellImage>
  <etc:cellImage>
    <xdr:pic>
      <xdr:nvPicPr>
        <xdr:cNvPr id="216" name="ID_8693EE1F7669428DADF716286595788E" descr="t0314f56ef1dfa3c759"/>
        <xdr:cNvPicPr>
          <a:picLocks noChangeAspect="1"/>
        </xdr:cNvPicPr>
      </xdr:nvPicPr>
      <xdr:blipFill>
        <a:blip r:embed="rId205"/>
        <a:stretch>
          <a:fillRect/>
        </a:stretch>
      </xdr:blipFill>
      <xdr:spPr>
        <a:xfrm>
          <a:off x="12359640" y="324671055"/>
          <a:ext cx="2095500" cy="2091690"/>
        </a:xfrm>
        <a:prstGeom prst="rect">
          <a:avLst/>
        </a:prstGeom>
        <a:noFill/>
        <a:ln w="9525">
          <a:noFill/>
        </a:ln>
      </xdr:spPr>
    </xdr:pic>
  </etc:cellImage>
  <etc:cellImage>
    <xdr:pic>
      <xdr:nvPicPr>
        <xdr:cNvPr id="217" name="ID_90AF487051BC48A3AADBDFBF328A669A"/>
        <xdr:cNvPicPr>
          <a:picLocks noChangeAspect="1"/>
        </xdr:cNvPicPr>
      </xdr:nvPicPr>
      <xdr:blipFill>
        <a:blip r:embed="rId206"/>
        <a:stretch>
          <a:fillRect/>
        </a:stretch>
      </xdr:blipFill>
      <xdr:spPr>
        <a:xfrm>
          <a:off x="12355195" y="277460075"/>
          <a:ext cx="2106295" cy="1509395"/>
        </a:xfrm>
        <a:prstGeom prst="rect">
          <a:avLst/>
        </a:prstGeom>
        <a:noFill/>
        <a:ln w="9525">
          <a:noFill/>
        </a:ln>
      </xdr:spPr>
    </xdr:pic>
  </etc:cellImage>
  <etc:cellImage>
    <xdr:pic>
      <xdr:nvPicPr>
        <xdr:cNvPr id="218" name="ID_F24D5EB02F69445CAC9CB4C8597C7A12"/>
        <xdr:cNvPicPr>
          <a:picLocks noChangeAspect="1"/>
        </xdr:cNvPicPr>
      </xdr:nvPicPr>
      <xdr:blipFill>
        <a:blip r:embed="rId207"/>
        <a:stretch>
          <a:fillRect/>
        </a:stretch>
      </xdr:blipFill>
      <xdr:spPr>
        <a:xfrm>
          <a:off x="12355195" y="279585420"/>
          <a:ext cx="2106295" cy="1584960"/>
        </a:xfrm>
        <a:prstGeom prst="rect">
          <a:avLst/>
        </a:prstGeom>
        <a:noFill/>
        <a:ln w="9525">
          <a:noFill/>
        </a:ln>
      </xdr:spPr>
    </xdr:pic>
  </etc:cellImage>
  <etc:cellImage>
    <xdr:pic>
      <xdr:nvPicPr>
        <xdr:cNvPr id="219" name="ID_D2FA4F94C0D2489A9C06CA78255AA87C"/>
        <xdr:cNvPicPr>
          <a:picLocks noChangeAspect="1"/>
        </xdr:cNvPicPr>
      </xdr:nvPicPr>
      <xdr:blipFill>
        <a:blip r:embed="rId208"/>
        <a:stretch>
          <a:fillRect/>
        </a:stretch>
      </xdr:blipFill>
      <xdr:spPr>
        <a:xfrm>
          <a:off x="12400915" y="465031455"/>
          <a:ext cx="2014220" cy="2032635"/>
        </a:xfrm>
        <a:prstGeom prst="rect">
          <a:avLst/>
        </a:prstGeom>
        <a:noFill/>
        <a:ln w="9525">
          <a:noFill/>
        </a:ln>
      </xdr:spPr>
    </xdr:pic>
  </etc:cellImage>
  <etc:cellImage>
    <xdr:pic>
      <xdr:nvPicPr>
        <xdr:cNvPr id="220" name="ID_F20132FE812346C4939ED9AED1158D32"/>
        <xdr:cNvPicPr>
          <a:picLocks noChangeAspect="1"/>
        </xdr:cNvPicPr>
      </xdr:nvPicPr>
      <xdr:blipFill>
        <a:blip r:embed="rId209"/>
        <a:stretch>
          <a:fillRect/>
        </a:stretch>
      </xdr:blipFill>
      <xdr:spPr>
        <a:xfrm>
          <a:off x="12380595" y="333315310"/>
          <a:ext cx="2055495" cy="2075180"/>
        </a:xfrm>
        <a:prstGeom prst="rect">
          <a:avLst/>
        </a:prstGeom>
        <a:noFill/>
        <a:ln w="9525">
          <a:noFill/>
        </a:ln>
      </xdr:spPr>
    </xdr:pic>
  </etc:cellImage>
  <etc:cellImage>
    <xdr:pic>
      <xdr:nvPicPr>
        <xdr:cNvPr id="221" name="ID_AB6422D5072348A39C646A3875964AC0"/>
        <xdr:cNvPicPr>
          <a:picLocks noChangeAspect="1"/>
        </xdr:cNvPicPr>
      </xdr:nvPicPr>
      <xdr:blipFill>
        <a:blip r:embed="rId210"/>
        <a:srcRect l="13254" r="12669" b="22762"/>
        <a:stretch>
          <a:fillRect/>
        </a:stretch>
      </xdr:blipFill>
      <xdr:spPr>
        <a:xfrm>
          <a:off x="12428220" y="337658710"/>
          <a:ext cx="1960245" cy="2015490"/>
        </a:xfrm>
        <a:prstGeom prst="rect">
          <a:avLst/>
        </a:prstGeom>
        <a:noFill/>
        <a:ln w="9525">
          <a:noFill/>
        </a:ln>
      </xdr:spPr>
    </xdr:pic>
  </etc:cellImage>
  <etc:cellImage>
    <xdr:pic>
      <xdr:nvPicPr>
        <xdr:cNvPr id="222" name="ID_F2ED3C4F75BC42C1835E71C66C206434"/>
        <xdr:cNvPicPr>
          <a:picLocks noChangeAspect="1"/>
        </xdr:cNvPicPr>
      </xdr:nvPicPr>
      <xdr:blipFill>
        <a:blip r:embed="rId211"/>
        <a:stretch>
          <a:fillRect/>
        </a:stretch>
      </xdr:blipFill>
      <xdr:spPr>
        <a:xfrm>
          <a:off x="12355195" y="284029785"/>
          <a:ext cx="2106295" cy="1332230"/>
        </a:xfrm>
        <a:prstGeom prst="rect">
          <a:avLst/>
        </a:prstGeom>
        <a:noFill/>
        <a:ln w="9525">
          <a:noFill/>
        </a:ln>
      </xdr:spPr>
    </xdr:pic>
  </etc:cellImage>
  <etc:cellImage>
    <xdr:pic>
      <xdr:nvPicPr>
        <xdr:cNvPr id="223" name="ID_010C89052F4045C5B668E9065AC71D33"/>
        <xdr:cNvPicPr>
          <a:picLocks noChangeAspect="1"/>
        </xdr:cNvPicPr>
      </xdr:nvPicPr>
      <xdr:blipFill>
        <a:blip r:embed="rId212"/>
        <a:srcRect t="10175" b="8067"/>
        <a:stretch>
          <a:fillRect/>
        </a:stretch>
      </xdr:blipFill>
      <xdr:spPr>
        <a:xfrm>
          <a:off x="12548870" y="285826200"/>
          <a:ext cx="1718945" cy="2057400"/>
        </a:xfrm>
        <a:prstGeom prst="rect">
          <a:avLst/>
        </a:prstGeom>
        <a:noFill/>
        <a:ln w="9525">
          <a:noFill/>
        </a:ln>
      </xdr:spPr>
    </xdr:pic>
  </etc:cellImage>
  <etc:cellImage>
    <xdr:pic>
      <xdr:nvPicPr>
        <xdr:cNvPr id="224" name="ID_C0F41AD3122C49D4AE1086754C72745E"/>
        <xdr:cNvPicPr>
          <a:picLocks noChangeAspect="1"/>
        </xdr:cNvPicPr>
      </xdr:nvPicPr>
      <xdr:blipFill>
        <a:blip r:embed="rId213"/>
        <a:srcRect l="9067" t="37950" r="6580" b="13275"/>
        <a:stretch>
          <a:fillRect/>
        </a:stretch>
      </xdr:blipFill>
      <xdr:spPr>
        <a:xfrm>
          <a:off x="12386310" y="290405185"/>
          <a:ext cx="2041525" cy="1535430"/>
        </a:xfrm>
        <a:prstGeom prst="rect">
          <a:avLst/>
        </a:prstGeom>
        <a:noFill/>
        <a:ln w="9525">
          <a:noFill/>
        </a:ln>
      </xdr:spPr>
    </xdr:pic>
  </etc:cellImage>
  <etc:cellImage>
    <xdr:pic>
      <xdr:nvPicPr>
        <xdr:cNvPr id="225" name="ID_BA8179CB222A458CB4AFDECE6BD3310C"/>
        <xdr:cNvPicPr>
          <a:picLocks noChangeAspect="1"/>
        </xdr:cNvPicPr>
      </xdr:nvPicPr>
      <xdr:blipFill>
        <a:blip r:embed="rId214"/>
        <a:srcRect l="30977" t="10626" r="12068" b="11186"/>
        <a:stretch>
          <a:fillRect/>
        </a:stretch>
      </xdr:blipFill>
      <xdr:spPr>
        <a:xfrm>
          <a:off x="12367895" y="708981310"/>
          <a:ext cx="2078990" cy="2066290"/>
        </a:xfrm>
        <a:prstGeom prst="rect">
          <a:avLst/>
        </a:prstGeom>
        <a:noFill/>
        <a:ln w="9525">
          <a:noFill/>
        </a:ln>
      </xdr:spPr>
    </xdr:pic>
  </etc:cellImage>
  <etc:cellImage>
    <xdr:pic>
      <xdr:nvPicPr>
        <xdr:cNvPr id="226" name="ID_F9C7534AF8A348FAB6ECC90C10A66477"/>
        <xdr:cNvPicPr>
          <a:picLocks noChangeAspect="1"/>
        </xdr:cNvPicPr>
      </xdr:nvPicPr>
      <xdr:blipFill>
        <a:blip r:embed="rId215"/>
        <a:stretch>
          <a:fillRect/>
        </a:stretch>
      </xdr:blipFill>
      <xdr:spPr>
        <a:xfrm>
          <a:off x="12390755" y="294453310"/>
          <a:ext cx="2033270" cy="2075180"/>
        </a:xfrm>
        <a:prstGeom prst="rect">
          <a:avLst/>
        </a:prstGeom>
        <a:noFill/>
        <a:ln w="9525">
          <a:noFill/>
        </a:ln>
      </xdr:spPr>
    </xdr:pic>
  </etc:cellImage>
  <etc:cellImage>
    <xdr:pic>
      <xdr:nvPicPr>
        <xdr:cNvPr id="227" name="ID_0CA67BE35A194BE087C0560A53B411E9" descr="tb_image_share_1761721757948.jpg"/>
        <xdr:cNvPicPr>
          <a:picLocks noChangeAspect="1"/>
        </xdr:cNvPicPr>
      </xdr:nvPicPr>
      <xdr:blipFill>
        <a:blip r:embed="rId216"/>
        <a:srcRect l="7173" t="14713" r="9187" b="44072"/>
        <a:stretch>
          <a:fillRect/>
        </a:stretch>
      </xdr:blipFill>
      <xdr:spPr>
        <a:xfrm>
          <a:off x="12367895" y="907634710"/>
          <a:ext cx="2078990" cy="2015490"/>
        </a:xfrm>
        <a:prstGeom prst="rect">
          <a:avLst/>
        </a:prstGeom>
        <a:noFill/>
        <a:ln w="9525">
          <a:noFill/>
        </a:ln>
      </xdr:spPr>
    </xdr:pic>
  </etc:cellImage>
  <etc:cellImage>
    <xdr:pic>
      <xdr:nvPicPr>
        <xdr:cNvPr id="228" name="ID_5A762B43A72E47C29F74B91B6B8A436B" descr="t04f0e059f01fdad583"/>
        <xdr:cNvPicPr>
          <a:picLocks noChangeAspect="1"/>
        </xdr:cNvPicPr>
      </xdr:nvPicPr>
      <xdr:blipFill>
        <a:blip r:embed="rId217"/>
        <a:stretch>
          <a:fillRect/>
        </a:stretch>
      </xdr:blipFill>
      <xdr:spPr>
        <a:xfrm>
          <a:off x="12701270" y="296587545"/>
          <a:ext cx="1414145" cy="2124710"/>
        </a:xfrm>
        <a:prstGeom prst="rect">
          <a:avLst/>
        </a:prstGeom>
        <a:noFill/>
        <a:ln w="9525">
          <a:noFill/>
        </a:ln>
      </xdr:spPr>
    </xdr:pic>
  </etc:cellImage>
  <etc:cellImage>
    <xdr:pic>
      <xdr:nvPicPr>
        <xdr:cNvPr id="229" name="ID_9604165FB7F5470ABF711E050B766C9C"/>
        <xdr:cNvPicPr>
          <a:picLocks noChangeAspect="1"/>
        </xdr:cNvPicPr>
      </xdr:nvPicPr>
      <xdr:blipFill>
        <a:blip r:embed="rId218"/>
        <a:stretch>
          <a:fillRect/>
        </a:stretch>
      </xdr:blipFill>
      <xdr:spPr>
        <a:xfrm>
          <a:off x="12392660" y="702487800"/>
          <a:ext cx="2031365" cy="2099945"/>
        </a:xfrm>
        <a:prstGeom prst="rect">
          <a:avLst/>
        </a:prstGeom>
        <a:noFill/>
        <a:ln w="9525">
          <a:noFill/>
        </a:ln>
      </xdr:spPr>
    </xdr:pic>
  </etc:cellImage>
  <etc:cellImage>
    <xdr:pic>
      <xdr:nvPicPr>
        <xdr:cNvPr id="230" name="ID_72968DABE0384645B2A6CF761A55E486" descr="魔芋"/>
        <xdr:cNvPicPr>
          <a:picLocks noChangeAspect="1"/>
        </xdr:cNvPicPr>
      </xdr:nvPicPr>
      <xdr:blipFill>
        <a:blip r:embed="rId219"/>
        <a:stretch>
          <a:fillRect/>
        </a:stretch>
      </xdr:blipFill>
      <xdr:spPr>
        <a:xfrm>
          <a:off x="12369800" y="860120200"/>
          <a:ext cx="2077085" cy="2057400"/>
        </a:xfrm>
        <a:prstGeom prst="rect">
          <a:avLst/>
        </a:prstGeom>
        <a:noFill/>
        <a:ln w="9525">
          <a:noFill/>
        </a:ln>
      </xdr:spPr>
    </xdr:pic>
  </etc:cellImage>
  <etc:cellImage>
    <xdr:pic>
      <xdr:nvPicPr>
        <xdr:cNvPr id="231" name="ID_9070417F480142EC9A891E92BA5E72E0"/>
        <xdr:cNvPicPr>
          <a:picLocks noChangeAspect="1"/>
        </xdr:cNvPicPr>
      </xdr:nvPicPr>
      <xdr:blipFill>
        <a:blip r:embed="rId220"/>
        <a:stretch>
          <a:fillRect/>
        </a:stretch>
      </xdr:blipFill>
      <xdr:spPr>
        <a:xfrm>
          <a:off x="12363450" y="299218350"/>
          <a:ext cx="2089150" cy="1181100"/>
        </a:xfrm>
        <a:prstGeom prst="rect">
          <a:avLst/>
        </a:prstGeom>
        <a:noFill/>
        <a:ln w="9525">
          <a:noFill/>
        </a:ln>
      </xdr:spPr>
    </xdr:pic>
  </etc:cellImage>
  <etc:cellImage>
    <xdr:pic>
      <xdr:nvPicPr>
        <xdr:cNvPr id="232" name="ID_FECC6D2D46FF4A6FAD91017E0EE7227B"/>
        <xdr:cNvPicPr>
          <a:picLocks noChangeAspect="1"/>
        </xdr:cNvPicPr>
      </xdr:nvPicPr>
      <xdr:blipFill>
        <a:blip r:embed="rId221"/>
        <a:stretch>
          <a:fillRect/>
        </a:stretch>
      </xdr:blipFill>
      <xdr:spPr>
        <a:xfrm>
          <a:off x="12392660" y="305265455"/>
          <a:ext cx="2031365" cy="2032635"/>
        </a:xfrm>
        <a:prstGeom prst="rect">
          <a:avLst/>
        </a:prstGeom>
        <a:noFill/>
        <a:ln w="9525">
          <a:noFill/>
        </a:ln>
      </xdr:spPr>
    </xdr:pic>
  </etc:cellImage>
  <etc:cellImage>
    <xdr:pic>
      <xdr:nvPicPr>
        <xdr:cNvPr id="233" name="ID_E4EC0C07447E4DD085E66F2ECBA7759C" descr="海鲜菇"/>
        <xdr:cNvPicPr>
          <a:picLocks noChangeAspect="1"/>
        </xdr:cNvPicPr>
      </xdr:nvPicPr>
      <xdr:blipFill>
        <a:blip r:embed="rId222"/>
        <a:stretch>
          <a:fillRect/>
        </a:stretch>
      </xdr:blipFill>
      <xdr:spPr>
        <a:xfrm>
          <a:off x="12378055" y="1091141455"/>
          <a:ext cx="2060575" cy="2032635"/>
        </a:xfrm>
        <a:prstGeom prst="rect">
          <a:avLst/>
        </a:prstGeom>
        <a:noFill/>
        <a:ln w="9525">
          <a:noFill/>
        </a:ln>
      </xdr:spPr>
    </xdr:pic>
  </etc:cellImage>
  <etc:cellImage>
    <xdr:pic>
      <xdr:nvPicPr>
        <xdr:cNvPr id="234" name="ID_396A2416CE6146ED8E64E02E7A919460"/>
        <xdr:cNvPicPr>
          <a:picLocks noChangeAspect="1"/>
        </xdr:cNvPicPr>
      </xdr:nvPicPr>
      <xdr:blipFill>
        <a:blip r:embed="rId223"/>
        <a:stretch>
          <a:fillRect/>
        </a:stretch>
      </xdr:blipFill>
      <xdr:spPr>
        <a:xfrm>
          <a:off x="12486640" y="534127710"/>
          <a:ext cx="1841500" cy="2024380"/>
        </a:xfrm>
        <a:prstGeom prst="rect">
          <a:avLst/>
        </a:prstGeom>
        <a:noFill/>
        <a:ln w="9525">
          <a:noFill/>
        </a:ln>
      </xdr:spPr>
    </xdr:pic>
  </etc:cellImage>
  <etc:cellImage>
    <xdr:pic>
      <xdr:nvPicPr>
        <xdr:cNvPr id="235" name="ID_74404927618147A9A77A083E2BD47CF7"/>
        <xdr:cNvPicPr>
          <a:picLocks noChangeAspect="1"/>
        </xdr:cNvPicPr>
      </xdr:nvPicPr>
      <xdr:blipFill>
        <a:blip r:embed="rId224"/>
        <a:stretch>
          <a:fillRect/>
        </a:stretch>
      </xdr:blipFill>
      <xdr:spPr>
        <a:xfrm>
          <a:off x="12411710" y="313918600"/>
          <a:ext cx="1993265" cy="2006600"/>
        </a:xfrm>
        <a:prstGeom prst="rect">
          <a:avLst/>
        </a:prstGeom>
        <a:noFill/>
        <a:ln w="9525">
          <a:noFill/>
        </a:ln>
      </xdr:spPr>
    </xdr:pic>
  </etc:cellImage>
  <etc:cellImage>
    <xdr:pic>
      <xdr:nvPicPr>
        <xdr:cNvPr id="237" name="ID_6EF97402341B4103A50759A6AB239BC3"/>
        <xdr:cNvPicPr>
          <a:picLocks noChangeAspect="1"/>
        </xdr:cNvPicPr>
      </xdr:nvPicPr>
      <xdr:blipFill>
        <a:blip r:embed="rId225"/>
        <a:stretch>
          <a:fillRect/>
        </a:stretch>
      </xdr:blipFill>
      <xdr:spPr>
        <a:xfrm>
          <a:off x="12473940" y="316060455"/>
          <a:ext cx="1868805" cy="2040890"/>
        </a:xfrm>
        <a:prstGeom prst="rect">
          <a:avLst/>
        </a:prstGeom>
        <a:noFill/>
        <a:ln w="9525">
          <a:noFill/>
        </a:ln>
      </xdr:spPr>
    </xdr:pic>
  </etc:cellImage>
  <etc:cellImage>
    <xdr:pic>
      <xdr:nvPicPr>
        <xdr:cNvPr id="238" name="ID_483598CBB289432782FBBB4E0713FB3E" descr="干海椒"/>
        <xdr:cNvPicPr>
          <a:picLocks noChangeAspect="1"/>
        </xdr:cNvPicPr>
      </xdr:nvPicPr>
      <xdr:blipFill>
        <a:blip r:embed="rId226"/>
        <a:srcRect t="8035"/>
        <a:stretch>
          <a:fillRect/>
        </a:stretch>
      </xdr:blipFill>
      <xdr:spPr>
        <a:xfrm>
          <a:off x="12392660" y="626948200"/>
          <a:ext cx="2031365" cy="2057400"/>
        </a:xfrm>
        <a:prstGeom prst="rect">
          <a:avLst/>
        </a:prstGeom>
        <a:noFill/>
        <a:ln w="9525">
          <a:noFill/>
        </a:ln>
      </xdr:spPr>
    </xdr:pic>
  </etc:cellImage>
  <etc:cellImage>
    <xdr:pic>
      <xdr:nvPicPr>
        <xdr:cNvPr id="239" name="ID_074DEE4A6B134E0FBF197106E957AE3E"/>
        <xdr:cNvPicPr>
          <a:picLocks noChangeAspect="1"/>
        </xdr:cNvPicPr>
      </xdr:nvPicPr>
      <xdr:blipFill>
        <a:blip r:embed="rId227"/>
        <a:stretch>
          <a:fillRect/>
        </a:stretch>
      </xdr:blipFill>
      <xdr:spPr>
        <a:xfrm>
          <a:off x="12378055" y="322520310"/>
          <a:ext cx="2060575" cy="2066290"/>
        </a:xfrm>
        <a:prstGeom prst="rect">
          <a:avLst/>
        </a:prstGeom>
        <a:noFill/>
        <a:ln w="9525">
          <a:noFill/>
        </a:ln>
      </xdr:spPr>
    </xdr:pic>
  </etc:cellImage>
  <etc:cellImage>
    <xdr:pic>
      <xdr:nvPicPr>
        <xdr:cNvPr id="240" name="ID_3143D98781FC47D1B13D682D125D2842" descr="晶心低钠盐"/>
        <xdr:cNvPicPr>
          <a:picLocks noChangeAspect="1"/>
        </xdr:cNvPicPr>
      </xdr:nvPicPr>
      <xdr:blipFill>
        <a:blip r:embed="rId228"/>
        <a:srcRect t="2489" r="20335"/>
        <a:stretch>
          <a:fillRect/>
        </a:stretch>
      </xdr:blipFill>
      <xdr:spPr>
        <a:xfrm>
          <a:off x="12567920" y="527642455"/>
          <a:ext cx="1680845" cy="2032635"/>
        </a:xfrm>
        <a:prstGeom prst="rect">
          <a:avLst/>
        </a:prstGeom>
        <a:noFill/>
        <a:ln w="9525">
          <a:noFill/>
        </a:ln>
      </xdr:spPr>
    </xdr:pic>
  </etc:cellImage>
  <etc:cellImage>
    <xdr:pic>
      <xdr:nvPicPr>
        <xdr:cNvPr id="241" name="ID_7CE56E9B20DB4D0CBA8E58C4F0103563"/>
        <xdr:cNvPicPr>
          <a:picLocks noChangeAspect="1"/>
        </xdr:cNvPicPr>
      </xdr:nvPicPr>
      <xdr:blipFill>
        <a:blip r:embed="rId229"/>
        <a:srcRect l="7642" b="13731"/>
        <a:stretch>
          <a:fillRect/>
        </a:stretch>
      </xdr:blipFill>
      <xdr:spPr>
        <a:xfrm>
          <a:off x="12386310" y="469450420"/>
          <a:ext cx="2043430" cy="1830070"/>
        </a:xfrm>
        <a:prstGeom prst="rect">
          <a:avLst/>
        </a:prstGeom>
        <a:noFill/>
        <a:ln w="9525">
          <a:noFill/>
        </a:ln>
      </xdr:spPr>
    </xdr:pic>
  </etc:cellImage>
  <etc:cellImage>
    <xdr:pic>
      <xdr:nvPicPr>
        <xdr:cNvPr id="242" name="ID_FA0C537D5C5F4145B86A1808A6B9D914" descr="879E657800902AE65D8D8260A211ED10"/>
        <xdr:cNvPicPr>
          <a:picLocks noChangeAspect="1"/>
        </xdr:cNvPicPr>
      </xdr:nvPicPr>
      <xdr:blipFill>
        <a:blip r:embed="rId230"/>
        <a:srcRect t="29308" b="32535"/>
        <a:stretch>
          <a:fillRect/>
        </a:stretch>
      </xdr:blipFill>
      <xdr:spPr>
        <a:xfrm>
          <a:off x="12390755" y="326897365"/>
          <a:ext cx="2035175" cy="1957070"/>
        </a:xfrm>
        <a:prstGeom prst="rect">
          <a:avLst/>
        </a:prstGeom>
        <a:noFill/>
        <a:ln w="9525">
          <a:noFill/>
        </a:ln>
      </xdr:spPr>
    </xdr:pic>
  </etc:cellImage>
  <etc:cellImage>
    <xdr:pic>
      <xdr:nvPicPr>
        <xdr:cNvPr id="243" name="ID_4F7D717EFCA84564B1858A1829531B78"/>
        <xdr:cNvPicPr>
          <a:picLocks noChangeAspect="1"/>
        </xdr:cNvPicPr>
      </xdr:nvPicPr>
      <xdr:blipFill>
        <a:blip r:embed="rId231"/>
        <a:srcRect t="9142" b="13055"/>
        <a:stretch>
          <a:fillRect/>
        </a:stretch>
      </xdr:blipFill>
      <xdr:spPr>
        <a:xfrm>
          <a:off x="12355195" y="329132565"/>
          <a:ext cx="2106295" cy="1804670"/>
        </a:xfrm>
        <a:prstGeom prst="rect">
          <a:avLst/>
        </a:prstGeom>
        <a:noFill/>
        <a:ln w="9525">
          <a:noFill/>
        </a:ln>
      </xdr:spPr>
    </xdr:pic>
  </etc:cellImage>
  <etc:cellImage>
    <xdr:pic>
      <xdr:nvPicPr>
        <xdr:cNvPr id="244" name="ID_3BE0771A901D401897AFBC05F35D9F36" descr="1356F257DE4E0CCA6013FAC754BC3BD9"/>
        <xdr:cNvPicPr>
          <a:picLocks noChangeAspect="1"/>
        </xdr:cNvPicPr>
      </xdr:nvPicPr>
      <xdr:blipFill>
        <a:blip r:embed="rId232"/>
        <a:srcRect l="6650" r="11876" b="11108"/>
        <a:stretch>
          <a:fillRect/>
        </a:stretch>
      </xdr:blipFill>
      <xdr:spPr>
        <a:xfrm>
          <a:off x="12382500" y="331165200"/>
          <a:ext cx="2051685" cy="2057400"/>
        </a:xfrm>
        <a:prstGeom prst="rect">
          <a:avLst/>
        </a:prstGeom>
        <a:noFill/>
        <a:ln w="9525">
          <a:noFill/>
        </a:ln>
      </xdr:spPr>
    </xdr:pic>
  </etc:cellImage>
  <etc:cellImage>
    <xdr:pic>
      <xdr:nvPicPr>
        <xdr:cNvPr id="245" name="ID_27358D8400884960A8344A64E45EB1AF"/>
        <xdr:cNvPicPr>
          <a:picLocks noChangeAspect="1"/>
        </xdr:cNvPicPr>
      </xdr:nvPicPr>
      <xdr:blipFill>
        <a:blip r:embed="rId233"/>
        <a:stretch>
          <a:fillRect/>
        </a:stretch>
      </xdr:blipFill>
      <xdr:spPr>
        <a:xfrm>
          <a:off x="12361545" y="946463055"/>
          <a:ext cx="2093595" cy="2083435"/>
        </a:xfrm>
        <a:prstGeom prst="rect">
          <a:avLst/>
        </a:prstGeom>
        <a:noFill/>
        <a:ln w="9525">
          <a:noFill/>
        </a:ln>
      </xdr:spPr>
    </xdr:pic>
  </etc:cellImage>
  <etc:cellImage>
    <xdr:pic>
      <xdr:nvPicPr>
        <xdr:cNvPr id="246" name="ID_E0503656E5E948F0BA6D37420169FE52"/>
        <xdr:cNvPicPr>
          <a:picLocks noChangeAspect="1"/>
        </xdr:cNvPicPr>
      </xdr:nvPicPr>
      <xdr:blipFill>
        <a:blip r:embed="rId234"/>
        <a:srcRect l="39127" t="22879" b="10109"/>
        <a:stretch>
          <a:fillRect/>
        </a:stretch>
      </xdr:blipFill>
      <xdr:spPr>
        <a:xfrm>
          <a:off x="12447270" y="335508600"/>
          <a:ext cx="1924685" cy="2006600"/>
        </a:xfrm>
        <a:prstGeom prst="rect">
          <a:avLst/>
        </a:prstGeom>
        <a:noFill/>
        <a:ln w="9525">
          <a:noFill/>
        </a:ln>
      </xdr:spPr>
    </xdr:pic>
  </etc:cellImage>
  <etc:cellImage>
    <xdr:pic>
      <xdr:nvPicPr>
        <xdr:cNvPr id="247" name="ID_E9813E6444B0484EB9908BA254D20A88" descr="tb_image_share_1758868919989.jpg"/>
        <xdr:cNvPicPr>
          <a:picLocks noChangeAspect="1"/>
        </xdr:cNvPicPr>
      </xdr:nvPicPr>
      <xdr:blipFill>
        <a:blip r:embed="rId235"/>
        <a:srcRect t="10759" b="34082"/>
        <a:stretch>
          <a:fillRect/>
        </a:stretch>
      </xdr:blipFill>
      <xdr:spPr>
        <a:xfrm>
          <a:off x="12400915" y="894748655"/>
          <a:ext cx="2014220" cy="1889125"/>
        </a:xfrm>
        <a:prstGeom prst="rect">
          <a:avLst/>
        </a:prstGeom>
        <a:noFill/>
        <a:ln w="9525">
          <a:noFill/>
        </a:ln>
      </xdr:spPr>
    </xdr:pic>
  </etc:cellImage>
  <etc:cellImage>
    <xdr:pic>
      <xdr:nvPicPr>
        <xdr:cNvPr id="248" name="ID_59A12C5BD0C4442680523CE5C2DDBA8C" descr="1758465984781"/>
        <xdr:cNvPicPr>
          <a:picLocks noChangeAspect="1"/>
        </xdr:cNvPicPr>
      </xdr:nvPicPr>
      <xdr:blipFill>
        <a:blip r:embed="rId236"/>
        <a:stretch>
          <a:fillRect/>
        </a:stretch>
      </xdr:blipFill>
      <xdr:spPr>
        <a:xfrm>
          <a:off x="12355195" y="344093800"/>
          <a:ext cx="2106295" cy="2108200"/>
        </a:xfrm>
        <a:prstGeom prst="rect">
          <a:avLst/>
        </a:prstGeom>
        <a:noFill/>
        <a:ln w="9525">
          <a:noFill/>
        </a:ln>
      </xdr:spPr>
    </xdr:pic>
  </etc:cellImage>
  <etc:cellImage>
    <xdr:pic>
      <xdr:nvPicPr>
        <xdr:cNvPr id="249" name="ID_A3A06E72EDCD4D56BDFA73582F3BA17A"/>
        <xdr:cNvPicPr>
          <a:picLocks noChangeAspect="1"/>
        </xdr:cNvPicPr>
      </xdr:nvPicPr>
      <xdr:blipFill>
        <a:blip r:embed="rId237"/>
        <a:stretch>
          <a:fillRect/>
        </a:stretch>
      </xdr:blipFill>
      <xdr:spPr>
        <a:xfrm>
          <a:off x="12355195" y="1127886365"/>
          <a:ext cx="2106295" cy="1957070"/>
        </a:xfrm>
        <a:prstGeom prst="rect">
          <a:avLst/>
        </a:prstGeom>
        <a:noFill/>
        <a:ln w="9525">
          <a:noFill/>
        </a:ln>
      </xdr:spPr>
    </xdr:pic>
  </etc:cellImage>
  <etc:cellImage>
    <xdr:pic>
      <xdr:nvPicPr>
        <xdr:cNvPr id="250" name="ID_5AEC63AA1C954300B7851930BA822E41" descr="t043050f7c9a1469378"/>
        <xdr:cNvPicPr>
          <a:picLocks noChangeAspect="1"/>
        </xdr:cNvPicPr>
      </xdr:nvPicPr>
      <xdr:blipFill>
        <a:blip r:embed="rId238"/>
        <a:stretch>
          <a:fillRect/>
        </a:stretch>
      </xdr:blipFill>
      <xdr:spPr>
        <a:xfrm>
          <a:off x="12355195" y="350570800"/>
          <a:ext cx="2106295" cy="2108200"/>
        </a:xfrm>
        <a:prstGeom prst="rect">
          <a:avLst/>
        </a:prstGeom>
        <a:noFill/>
        <a:ln w="9525">
          <a:noFill/>
        </a:ln>
      </xdr:spPr>
    </xdr:pic>
  </etc:cellImage>
  <etc:cellImage>
    <xdr:pic>
      <xdr:nvPicPr>
        <xdr:cNvPr id="251" name="ID_BAC5F4AEBEB94348988DDA8F538A4B86"/>
        <xdr:cNvPicPr>
          <a:picLocks noChangeAspect="1"/>
        </xdr:cNvPicPr>
      </xdr:nvPicPr>
      <xdr:blipFill>
        <a:blip r:embed="rId239"/>
        <a:stretch>
          <a:fillRect/>
        </a:stretch>
      </xdr:blipFill>
      <xdr:spPr>
        <a:xfrm>
          <a:off x="12367895" y="352746310"/>
          <a:ext cx="2078990" cy="2075180"/>
        </a:xfrm>
        <a:prstGeom prst="rect">
          <a:avLst/>
        </a:prstGeom>
        <a:noFill/>
        <a:ln w="9525">
          <a:noFill/>
        </a:ln>
      </xdr:spPr>
    </xdr:pic>
  </etc:cellImage>
  <etc:cellImage>
    <xdr:pic>
      <xdr:nvPicPr>
        <xdr:cNvPr id="252" name="ID_7B9BDE217A4D4EE6923820322EA50047"/>
        <xdr:cNvPicPr>
          <a:picLocks noChangeAspect="1"/>
        </xdr:cNvPicPr>
      </xdr:nvPicPr>
      <xdr:blipFill>
        <a:blip r:embed="rId240"/>
        <a:srcRect t="6551"/>
        <a:stretch>
          <a:fillRect/>
        </a:stretch>
      </xdr:blipFill>
      <xdr:spPr>
        <a:xfrm>
          <a:off x="12371705" y="359215055"/>
          <a:ext cx="2072640" cy="2083435"/>
        </a:xfrm>
        <a:prstGeom prst="rect">
          <a:avLst/>
        </a:prstGeom>
        <a:noFill/>
        <a:ln w="9525">
          <a:noFill/>
        </a:ln>
      </xdr:spPr>
    </xdr:pic>
  </etc:cellImage>
  <etc:cellImage>
    <xdr:pic>
      <xdr:nvPicPr>
        <xdr:cNvPr id="253" name="ID_DE5606E3731E46E29F20305E711B737E"/>
        <xdr:cNvPicPr>
          <a:picLocks noChangeAspect="1"/>
        </xdr:cNvPicPr>
      </xdr:nvPicPr>
      <xdr:blipFill>
        <a:blip r:embed="rId241"/>
        <a:srcRect b="11635"/>
        <a:stretch>
          <a:fillRect/>
        </a:stretch>
      </xdr:blipFill>
      <xdr:spPr>
        <a:xfrm>
          <a:off x="12359640" y="361382310"/>
          <a:ext cx="2095500" cy="2075180"/>
        </a:xfrm>
        <a:prstGeom prst="rect">
          <a:avLst/>
        </a:prstGeom>
        <a:noFill/>
        <a:ln w="9525">
          <a:noFill/>
        </a:ln>
      </xdr:spPr>
    </xdr:pic>
  </etc:cellImage>
  <etc:cellImage>
    <xdr:pic>
      <xdr:nvPicPr>
        <xdr:cNvPr id="254" name="ID_8E95105AFEDA4B10AD71D8518B2B7FF8" descr="地瓜"/>
        <xdr:cNvPicPr>
          <a:picLocks noChangeAspect="1"/>
        </xdr:cNvPicPr>
      </xdr:nvPicPr>
      <xdr:blipFill>
        <a:blip r:embed="rId242"/>
        <a:srcRect t="16087"/>
        <a:stretch>
          <a:fillRect/>
        </a:stretch>
      </xdr:blipFill>
      <xdr:spPr>
        <a:xfrm>
          <a:off x="12378055" y="1108421710"/>
          <a:ext cx="2060575" cy="2024380"/>
        </a:xfrm>
        <a:prstGeom prst="rect">
          <a:avLst/>
        </a:prstGeom>
        <a:noFill/>
        <a:ln w="9525">
          <a:noFill/>
        </a:ln>
      </xdr:spPr>
    </xdr:pic>
  </etc:cellImage>
  <etc:cellImage>
    <xdr:pic>
      <xdr:nvPicPr>
        <xdr:cNvPr id="255" name="ID_F8F9D9A6EE9B44EF8B4E4C140EA81078"/>
        <xdr:cNvPicPr>
          <a:picLocks noChangeAspect="1"/>
        </xdr:cNvPicPr>
      </xdr:nvPicPr>
      <xdr:blipFill>
        <a:blip r:embed="rId243"/>
        <a:srcRect b="14157"/>
        <a:stretch>
          <a:fillRect/>
        </a:stretch>
      </xdr:blipFill>
      <xdr:spPr>
        <a:xfrm>
          <a:off x="12390755" y="413341820"/>
          <a:ext cx="2035175" cy="1788160"/>
        </a:xfrm>
        <a:prstGeom prst="rect">
          <a:avLst/>
        </a:prstGeom>
        <a:noFill/>
        <a:ln w="9525">
          <a:noFill/>
        </a:ln>
      </xdr:spPr>
    </xdr:pic>
  </etc:cellImage>
  <etc:cellImage>
    <xdr:pic>
      <xdr:nvPicPr>
        <xdr:cNvPr id="256" name="ID_9579890C43F04056B02B3128A7221CF2"/>
        <xdr:cNvPicPr>
          <a:picLocks noChangeAspect="1"/>
        </xdr:cNvPicPr>
      </xdr:nvPicPr>
      <xdr:blipFill>
        <a:blip r:embed="rId244"/>
        <a:stretch>
          <a:fillRect/>
        </a:stretch>
      </xdr:blipFill>
      <xdr:spPr>
        <a:xfrm>
          <a:off x="12690475" y="363676565"/>
          <a:ext cx="1435100" cy="1804670"/>
        </a:xfrm>
        <a:prstGeom prst="rect">
          <a:avLst/>
        </a:prstGeom>
        <a:noFill/>
        <a:ln w="9525">
          <a:noFill/>
        </a:ln>
      </xdr:spPr>
    </xdr:pic>
  </etc:cellImage>
  <etc:cellImage>
    <xdr:pic>
      <xdr:nvPicPr>
        <xdr:cNvPr id="257" name="ID_DFFE5C220CA4480F8C6A386B1B263E73"/>
        <xdr:cNvPicPr>
          <a:picLocks noChangeAspect="1"/>
        </xdr:cNvPicPr>
      </xdr:nvPicPr>
      <xdr:blipFill>
        <a:blip r:embed="rId245"/>
        <a:srcRect r="-2335" b="13139"/>
        <a:stretch>
          <a:fillRect/>
        </a:stretch>
      </xdr:blipFill>
      <xdr:spPr>
        <a:xfrm>
          <a:off x="12507595" y="365970185"/>
          <a:ext cx="1801495" cy="1535430"/>
        </a:xfrm>
        <a:prstGeom prst="rect">
          <a:avLst/>
        </a:prstGeom>
        <a:noFill/>
        <a:ln w="9525">
          <a:noFill/>
        </a:ln>
      </xdr:spPr>
    </xdr:pic>
  </etc:cellImage>
  <etc:cellImage>
    <xdr:pic>
      <xdr:nvPicPr>
        <xdr:cNvPr id="258" name="ID_7B30C0D043FD4E77A223C739A675C480" descr="2ed5ec6448eaa10a09eb95f8dbca82bf"/>
        <xdr:cNvPicPr>
          <a:picLocks noChangeAspect="1"/>
        </xdr:cNvPicPr>
      </xdr:nvPicPr>
      <xdr:blipFill>
        <a:blip r:embed="rId246"/>
        <a:stretch>
          <a:fillRect/>
        </a:stretch>
      </xdr:blipFill>
      <xdr:spPr>
        <a:xfrm>
          <a:off x="12811760" y="369993545"/>
          <a:ext cx="1193165" cy="2124710"/>
        </a:xfrm>
        <a:prstGeom prst="rect">
          <a:avLst/>
        </a:prstGeom>
        <a:noFill/>
        <a:ln w="9525">
          <a:noFill/>
        </a:ln>
      </xdr:spPr>
    </xdr:pic>
  </etc:cellImage>
  <etc:cellImage>
    <xdr:pic>
      <xdr:nvPicPr>
        <xdr:cNvPr id="259" name="ID_BFF16C663DB14D1897D5C0E8244F388A"/>
        <xdr:cNvPicPr>
          <a:picLocks noChangeAspect="1"/>
        </xdr:cNvPicPr>
      </xdr:nvPicPr>
      <xdr:blipFill>
        <a:blip r:embed="rId247"/>
        <a:stretch>
          <a:fillRect/>
        </a:stretch>
      </xdr:blipFill>
      <xdr:spPr>
        <a:xfrm>
          <a:off x="12546965" y="829953255"/>
          <a:ext cx="1722755" cy="1939290"/>
        </a:xfrm>
        <a:prstGeom prst="rect">
          <a:avLst/>
        </a:prstGeom>
        <a:noFill/>
        <a:ln w="9525">
          <a:noFill/>
        </a:ln>
      </xdr:spPr>
    </xdr:pic>
  </etc:cellImage>
  <etc:cellImage>
    <xdr:pic>
      <xdr:nvPicPr>
        <xdr:cNvPr id="260" name="ID_92176FA6B8A74EF9BF7E10CBB3E1DFFD"/>
        <xdr:cNvPicPr>
          <a:picLocks noChangeAspect="1"/>
        </xdr:cNvPicPr>
      </xdr:nvPicPr>
      <xdr:blipFill>
        <a:blip r:embed="rId248"/>
        <a:stretch>
          <a:fillRect/>
        </a:stretch>
      </xdr:blipFill>
      <xdr:spPr>
        <a:xfrm>
          <a:off x="12388850" y="372194455"/>
          <a:ext cx="2037080" cy="2032635"/>
        </a:xfrm>
        <a:prstGeom prst="rect">
          <a:avLst/>
        </a:prstGeom>
        <a:noFill/>
        <a:ln w="9525">
          <a:noFill/>
        </a:ln>
      </xdr:spPr>
    </xdr:pic>
  </etc:cellImage>
  <etc:cellImage>
    <xdr:pic>
      <xdr:nvPicPr>
        <xdr:cNvPr id="261" name="ID_6A6AD94C05A64CD2A983E9AA7F9C7EA9"/>
        <xdr:cNvPicPr>
          <a:picLocks noChangeAspect="1"/>
        </xdr:cNvPicPr>
      </xdr:nvPicPr>
      <xdr:blipFill>
        <a:blip r:embed="rId249"/>
        <a:stretch>
          <a:fillRect/>
        </a:stretch>
      </xdr:blipFill>
      <xdr:spPr>
        <a:xfrm>
          <a:off x="12378055" y="376495310"/>
          <a:ext cx="2060575" cy="2066290"/>
        </a:xfrm>
        <a:prstGeom prst="rect">
          <a:avLst/>
        </a:prstGeom>
        <a:noFill/>
        <a:ln w="9525">
          <a:noFill/>
        </a:ln>
      </xdr:spPr>
    </xdr:pic>
  </etc:cellImage>
  <etc:cellImage>
    <xdr:pic>
      <xdr:nvPicPr>
        <xdr:cNvPr id="262" name="ID_DA5A005D25BD4B598DF4B5CF3DF988D1"/>
        <xdr:cNvPicPr>
          <a:picLocks noChangeAspect="1"/>
        </xdr:cNvPicPr>
      </xdr:nvPicPr>
      <xdr:blipFill>
        <a:blip r:embed="rId250"/>
        <a:stretch>
          <a:fillRect/>
        </a:stretch>
      </xdr:blipFill>
      <xdr:spPr>
        <a:xfrm>
          <a:off x="12374245" y="691734710"/>
          <a:ext cx="2066290" cy="2024380"/>
        </a:xfrm>
        <a:prstGeom prst="rect">
          <a:avLst/>
        </a:prstGeom>
        <a:noFill/>
        <a:ln w="9525">
          <a:noFill/>
        </a:ln>
      </xdr:spPr>
    </xdr:pic>
  </etc:cellImage>
  <etc:cellImage>
    <xdr:pic>
      <xdr:nvPicPr>
        <xdr:cNvPr id="263" name="ID_02C41531C362466C97316ADC6AB02C08" descr="tb_image_share_1758868828813.jpg"/>
        <xdr:cNvPicPr>
          <a:picLocks noChangeAspect="1"/>
        </xdr:cNvPicPr>
      </xdr:nvPicPr>
      <xdr:blipFill>
        <a:blip r:embed="rId251"/>
        <a:stretch>
          <a:fillRect/>
        </a:stretch>
      </xdr:blipFill>
      <xdr:spPr>
        <a:xfrm>
          <a:off x="12423775" y="491023910"/>
          <a:ext cx="1966595" cy="1863725"/>
        </a:xfrm>
        <a:prstGeom prst="rect">
          <a:avLst/>
        </a:prstGeom>
        <a:noFill/>
        <a:ln w="9525">
          <a:noFill/>
        </a:ln>
      </xdr:spPr>
    </xdr:pic>
  </etc:cellImage>
  <etc:cellImage>
    <xdr:pic>
      <xdr:nvPicPr>
        <xdr:cNvPr id="264" name="ID_0FE41598208E402BB9BA475722FE5017"/>
        <xdr:cNvPicPr>
          <a:picLocks noChangeAspect="1"/>
        </xdr:cNvPicPr>
      </xdr:nvPicPr>
      <xdr:blipFill>
        <a:blip r:embed="rId252"/>
        <a:stretch>
          <a:fillRect/>
        </a:stretch>
      </xdr:blipFill>
      <xdr:spPr>
        <a:xfrm>
          <a:off x="12386310" y="430512855"/>
          <a:ext cx="2041525" cy="1981835"/>
        </a:xfrm>
        <a:prstGeom prst="rect">
          <a:avLst/>
        </a:prstGeom>
        <a:noFill/>
        <a:ln w="9525">
          <a:noFill/>
        </a:ln>
      </xdr:spPr>
    </xdr:pic>
  </etc:cellImage>
  <etc:cellImage>
    <xdr:pic>
      <xdr:nvPicPr>
        <xdr:cNvPr id="265" name="ID_9C6A8F2D68E7464CBFD857A855DA0C89"/>
        <xdr:cNvPicPr>
          <a:picLocks noChangeAspect="1"/>
        </xdr:cNvPicPr>
      </xdr:nvPicPr>
      <xdr:blipFill>
        <a:blip r:embed="rId253"/>
        <a:srcRect l="8220" t="18285" r="9062" b="11232"/>
        <a:stretch>
          <a:fillRect/>
        </a:stretch>
      </xdr:blipFill>
      <xdr:spPr>
        <a:xfrm>
          <a:off x="12359640" y="380805055"/>
          <a:ext cx="2097405" cy="2091690"/>
        </a:xfrm>
        <a:prstGeom prst="rect">
          <a:avLst/>
        </a:prstGeom>
        <a:noFill/>
        <a:ln w="9525">
          <a:noFill/>
        </a:ln>
      </xdr:spPr>
    </xdr:pic>
  </etc:cellImage>
  <etc:cellImage>
    <xdr:pic>
      <xdr:nvPicPr>
        <xdr:cNvPr id="266" name="ID_E4F97A1D2E7749AA9FF57EB003B5BC06"/>
        <xdr:cNvPicPr>
          <a:picLocks noChangeAspect="1"/>
        </xdr:cNvPicPr>
      </xdr:nvPicPr>
      <xdr:blipFill>
        <a:blip r:embed="rId254"/>
        <a:stretch>
          <a:fillRect/>
        </a:stretch>
      </xdr:blipFill>
      <xdr:spPr>
        <a:xfrm>
          <a:off x="12522200" y="382964055"/>
          <a:ext cx="1772285" cy="2083435"/>
        </a:xfrm>
        <a:prstGeom prst="rect">
          <a:avLst/>
        </a:prstGeom>
        <a:noFill/>
        <a:ln w="9525">
          <a:noFill/>
        </a:ln>
      </xdr:spPr>
    </xdr:pic>
  </etc:cellImage>
  <etc:cellImage>
    <xdr:pic>
      <xdr:nvPicPr>
        <xdr:cNvPr id="267" name="ID_A475603FED66480E9F798C9FDA3C9EF0"/>
        <xdr:cNvPicPr>
          <a:picLocks noChangeAspect="1"/>
        </xdr:cNvPicPr>
      </xdr:nvPicPr>
      <xdr:blipFill>
        <a:blip r:embed="rId255"/>
        <a:stretch>
          <a:fillRect/>
        </a:stretch>
      </xdr:blipFill>
      <xdr:spPr>
        <a:xfrm>
          <a:off x="12369800" y="482286310"/>
          <a:ext cx="2077085" cy="2075180"/>
        </a:xfrm>
        <a:prstGeom prst="rect">
          <a:avLst/>
        </a:prstGeom>
        <a:noFill/>
        <a:ln w="9525">
          <a:noFill/>
        </a:ln>
      </xdr:spPr>
    </xdr:pic>
  </etc:cellImage>
  <etc:cellImage>
    <xdr:pic>
      <xdr:nvPicPr>
        <xdr:cNvPr id="268" name="ID_5A4A21621D7C4C89AA02C73677CEE1A4"/>
        <xdr:cNvPicPr>
          <a:picLocks noChangeAspect="1"/>
        </xdr:cNvPicPr>
      </xdr:nvPicPr>
      <xdr:blipFill>
        <a:blip r:embed="rId256"/>
        <a:srcRect l="15205" r="9079"/>
        <a:stretch>
          <a:fillRect/>
        </a:stretch>
      </xdr:blipFill>
      <xdr:spPr>
        <a:xfrm>
          <a:off x="12432665" y="434780055"/>
          <a:ext cx="1949450" cy="2083435"/>
        </a:xfrm>
        <a:prstGeom prst="rect">
          <a:avLst/>
        </a:prstGeom>
        <a:noFill/>
        <a:ln w="9525">
          <a:noFill/>
        </a:ln>
      </xdr:spPr>
    </xdr:pic>
  </etc:cellImage>
  <etc:cellImage>
    <xdr:pic>
      <xdr:nvPicPr>
        <xdr:cNvPr id="269" name="ID_4B7C4C8AF0964789A3295A838D583830" descr="t04448399b5fce0bdbe"/>
        <xdr:cNvPicPr>
          <a:picLocks noChangeAspect="1"/>
        </xdr:cNvPicPr>
      </xdr:nvPicPr>
      <xdr:blipFill>
        <a:blip r:embed="rId257"/>
        <a:stretch>
          <a:fillRect/>
        </a:stretch>
      </xdr:blipFill>
      <xdr:spPr>
        <a:xfrm>
          <a:off x="12355195" y="385114800"/>
          <a:ext cx="2106295" cy="2108200"/>
        </a:xfrm>
        <a:prstGeom prst="rect">
          <a:avLst/>
        </a:prstGeom>
        <a:noFill/>
        <a:ln w="9525">
          <a:noFill/>
        </a:ln>
      </xdr:spPr>
    </xdr:pic>
  </etc:cellImage>
  <etc:cellImage>
    <xdr:pic>
      <xdr:nvPicPr>
        <xdr:cNvPr id="270" name="ID_6020BB3F6350498F84AC67522F3950B5"/>
        <xdr:cNvPicPr>
          <a:picLocks noChangeAspect="1"/>
        </xdr:cNvPicPr>
      </xdr:nvPicPr>
      <xdr:blipFill>
        <a:blip r:embed="rId258"/>
        <a:stretch>
          <a:fillRect/>
        </a:stretch>
      </xdr:blipFill>
      <xdr:spPr>
        <a:xfrm>
          <a:off x="12388850" y="585927200"/>
          <a:ext cx="2038985" cy="2049145"/>
        </a:xfrm>
        <a:prstGeom prst="rect">
          <a:avLst/>
        </a:prstGeom>
        <a:noFill/>
        <a:ln w="9525">
          <a:noFill/>
        </a:ln>
      </xdr:spPr>
    </xdr:pic>
  </etc:cellImage>
  <etc:cellImage>
    <xdr:pic>
      <xdr:nvPicPr>
        <xdr:cNvPr id="271" name="ID_D9C071ECF6A54EE3B7B458901D378D42" descr="t047aa8236408d9485f"/>
        <xdr:cNvPicPr>
          <a:picLocks noChangeAspect="1"/>
        </xdr:cNvPicPr>
      </xdr:nvPicPr>
      <xdr:blipFill>
        <a:blip r:embed="rId259"/>
        <a:stretch>
          <a:fillRect/>
        </a:stretch>
      </xdr:blipFill>
      <xdr:spPr>
        <a:xfrm>
          <a:off x="12359640" y="387282055"/>
          <a:ext cx="2095500" cy="2091690"/>
        </a:xfrm>
        <a:prstGeom prst="rect">
          <a:avLst/>
        </a:prstGeom>
        <a:noFill/>
        <a:ln w="9525">
          <a:noFill/>
        </a:ln>
      </xdr:spPr>
    </xdr:pic>
  </etc:cellImage>
  <etc:cellImage>
    <xdr:pic>
      <xdr:nvPicPr>
        <xdr:cNvPr id="272" name="ID_F3F0670F63B249DABC8C79F56C042F4D"/>
        <xdr:cNvPicPr>
          <a:picLocks noChangeAspect="1"/>
        </xdr:cNvPicPr>
      </xdr:nvPicPr>
      <xdr:blipFill>
        <a:blip r:embed="rId260"/>
        <a:srcRect t="26480"/>
        <a:stretch>
          <a:fillRect/>
        </a:stretch>
      </xdr:blipFill>
      <xdr:spPr>
        <a:xfrm>
          <a:off x="12359640" y="391768965"/>
          <a:ext cx="2095500" cy="1753870"/>
        </a:xfrm>
        <a:prstGeom prst="rect">
          <a:avLst/>
        </a:prstGeom>
        <a:noFill/>
        <a:ln w="9525">
          <a:noFill/>
        </a:ln>
      </xdr:spPr>
    </xdr:pic>
  </etc:cellImage>
  <etc:cellImage>
    <xdr:pic>
      <xdr:nvPicPr>
        <xdr:cNvPr id="273" name="ID_2EF14C75B63E4EBA8534F5477B6FC8FF"/>
        <xdr:cNvPicPr>
          <a:picLocks noChangeAspect="1"/>
        </xdr:cNvPicPr>
      </xdr:nvPicPr>
      <xdr:blipFill>
        <a:blip r:embed="rId261"/>
        <a:stretch>
          <a:fillRect/>
        </a:stretch>
      </xdr:blipFill>
      <xdr:spPr>
        <a:xfrm>
          <a:off x="12374245" y="393767310"/>
          <a:ext cx="2068195" cy="2066290"/>
        </a:xfrm>
        <a:prstGeom prst="rect">
          <a:avLst/>
        </a:prstGeom>
        <a:noFill/>
        <a:ln w="9525">
          <a:noFill/>
        </a:ln>
      </xdr:spPr>
    </xdr:pic>
  </etc:cellImage>
  <etc:cellImage>
    <xdr:pic>
      <xdr:nvPicPr>
        <xdr:cNvPr id="274" name="ID_0260DA17E63D4999B42A8BEACAF0EF4E"/>
        <xdr:cNvPicPr>
          <a:picLocks noChangeAspect="1"/>
        </xdr:cNvPicPr>
      </xdr:nvPicPr>
      <xdr:blipFill>
        <a:blip r:embed="rId262"/>
        <a:stretch>
          <a:fillRect/>
        </a:stretch>
      </xdr:blipFill>
      <xdr:spPr>
        <a:xfrm>
          <a:off x="12357735" y="911902545"/>
          <a:ext cx="2101215" cy="2124710"/>
        </a:xfrm>
        <a:prstGeom prst="rect">
          <a:avLst/>
        </a:prstGeom>
        <a:noFill/>
        <a:ln w="9525">
          <a:noFill/>
        </a:ln>
      </xdr:spPr>
    </xdr:pic>
  </etc:cellImage>
  <etc:cellImage>
    <xdr:pic>
      <xdr:nvPicPr>
        <xdr:cNvPr id="275" name="ID_7EE0AFEB725843E08265AF21F3094A12"/>
        <xdr:cNvPicPr>
          <a:picLocks noChangeAspect="1"/>
        </xdr:cNvPicPr>
      </xdr:nvPicPr>
      <xdr:blipFill>
        <a:blip r:embed="rId263"/>
        <a:srcRect l="61259" t="38385" r="2386" b="4259"/>
        <a:stretch>
          <a:fillRect/>
        </a:stretch>
      </xdr:blipFill>
      <xdr:spPr>
        <a:xfrm>
          <a:off x="12673965" y="395918055"/>
          <a:ext cx="1468755" cy="2083435"/>
        </a:xfrm>
        <a:prstGeom prst="rect">
          <a:avLst/>
        </a:prstGeom>
        <a:noFill/>
        <a:ln w="9525">
          <a:noFill/>
        </a:ln>
      </xdr:spPr>
    </xdr:pic>
  </etc:cellImage>
  <etc:cellImage>
    <xdr:pic>
      <xdr:nvPicPr>
        <xdr:cNvPr id="276" name="ID_E1FBC1E28DA84909BE7EF6F2939A9FA5" descr="t017bffc24e58aff251"/>
        <xdr:cNvPicPr>
          <a:picLocks noChangeAspect="1"/>
        </xdr:cNvPicPr>
      </xdr:nvPicPr>
      <xdr:blipFill>
        <a:blip r:embed="rId264"/>
        <a:stretch>
          <a:fillRect/>
        </a:stretch>
      </xdr:blipFill>
      <xdr:spPr>
        <a:xfrm>
          <a:off x="12359640" y="447734055"/>
          <a:ext cx="2095500" cy="2091690"/>
        </a:xfrm>
        <a:prstGeom prst="rect">
          <a:avLst/>
        </a:prstGeom>
        <a:noFill/>
        <a:ln w="9525">
          <a:noFill/>
        </a:ln>
      </xdr:spPr>
    </xdr:pic>
  </etc:cellImage>
  <etc:cellImage>
    <xdr:pic>
      <xdr:nvPicPr>
        <xdr:cNvPr id="277" name="ID_E5FFA964ED2B46638B71B546DC6FAB66"/>
        <xdr:cNvPicPr>
          <a:picLocks noChangeAspect="1"/>
        </xdr:cNvPicPr>
      </xdr:nvPicPr>
      <xdr:blipFill>
        <a:blip r:embed="rId265"/>
        <a:srcRect l="7007" t="3572" r="7100" b="13075"/>
        <a:stretch>
          <a:fillRect/>
        </a:stretch>
      </xdr:blipFill>
      <xdr:spPr>
        <a:xfrm>
          <a:off x="12388850" y="398136110"/>
          <a:ext cx="2037080" cy="1973580"/>
        </a:xfrm>
        <a:prstGeom prst="rect">
          <a:avLst/>
        </a:prstGeom>
        <a:noFill/>
        <a:ln w="9525">
          <a:noFill/>
        </a:ln>
      </xdr:spPr>
    </xdr:pic>
  </etc:cellImage>
  <etc:cellImage>
    <xdr:pic>
      <xdr:nvPicPr>
        <xdr:cNvPr id="278" name="ID_9AAB5BE009E54703964ABC35C3E8165F"/>
        <xdr:cNvPicPr>
          <a:picLocks noChangeAspect="1"/>
        </xdr:cNvPicPr>
      </xdr:nvPicPr>
      <xdr:blipFill>
        <a:blip r:embed="rId266"/>
        <a:srcRect b="10544"/>
        <a:stretch>
          <a:fillRect/>
        </a:stretch>
      </xdr:blipFill>
      <xdr:spPr>
        <a:xfrm>
          <a:off x="12399010" y="400371310"/>
          <a:ext cx="2018665" cy="1821180"/>
        </a:xfrm>
        <a:prstGeom prst="rect">
          <a:avLst/>
        </a:prstGeom>
        <a:noFill/>
        <a:ln w="9525">
          <a:noFill/>
        </a:ln>
      </xdr:spPr>
    </xdr:pic>
  </etc:cellImage>
  <etc:cellImage>
    <xdr:pic>
      <xdr:nvPicPr>
        <xdr:cNvPr id="279" name="ID_D2FD3CFC09234C3082594205B98766C5"/>
        <xdr:cNvPicPr>
          <a:picLocks noChangeAspect="1"/>
        </xdr:cNvPicPr>
      </xdr:nvPicPr>
      <xdr:blipFill>
        <a:blip r:embed="rId267"/>
        <a:srcRect l="17105" r="17905"/>
        <a:stretch>
          <a:fillRect/>
        </a:stretch>
      </xdr:blipFill>
      <xdr:spPr>
        <a:xfrm>
          <a:off x="12646660" y="404571200"/>
          <a:ext cx="1522730" cy="2057400"/>
        </a:xfrm>
        <a:prstGeom prst="rect">
          <a:avLst/>
        </a:prstGeom>
        <a:noFill/>
        <a:ln w="9525">
          <a:noFill/>
        </a:ln>
      </xdr:spPr>
    </xdr:pic>
  </etc:cellImage>
  <etc:cellImage>
    <xdr:pic>
      <xdr:nvPicPr>
        <xdr:cNvPr id="280" name="ID_6C7F792C93474B43B6D40001BFB2E0E7"/>
        <xdr:cNvPicPr>
          <a:picLocks noChangeAspect="1"/>
        </xdr:cNvPicPr>
      </xdr:nvPicPr>
      <xdr:blipFill>
        <a:blip r:embed="rId268"/>
        <a:stretch>
          <a:fillRect/>
        </a:stretch>
      </xdr:blipFill>
      <xdr:spPr>
        <a:xfrm>
          <a:off x="12392660" y="406746710"/>
          <a:ext cx="2031365" cy="2024380"/>
        </a:xfrm>
        <a:prstGeom prst="rect">
          <a:avLst/>
        </a:prstGeom>
        <a:noFill/>
        <a:ln w="9525">
          <a:noFill/>
        </a:ln>
      </xdr:spPr>
    </xdr:pic>
  </etc:cellImage>
  <etc:cellImage>
    <xdr:pic>
      <xdr:nvPicPr>
        <xdr:cNvPr id="281" name="ID_1D06474B66CB4925AAC5B2B6AADC9628" descr="4a38a00a-5f2a-4b29-92b3-e2b17f8d11a8"/>
        <xdr:cNvPicPr>
          <a:picLocks noChangeAspect="1"/>
        </xdr:cNvPicPr>
      </xdr:nvPicPr>
      <xdr:blipFill>
        <a:blip r:embed="rId269"/>
        <a:stretch>
          <a:fillRect/>
        </a:stretch>
      </xdr:blipFill>
      <xdr:spPr>
        <a:xfrm>
          <a:off x="12407265" y="605324545"/>
          <a:ext cx="2002155" cy="2124710"/>
        </a:xfrm>
        <a:prstGeom prst="rect">
          <a:avLst/>
        </a:prstGeom>
        <a:noFill/>
        <a:ln w="9525">
          <a:noFill/>
        </a:ln>
      </xdr:spPr>
    </xdr:pic>
  </etc:cellImage>
  <etc:cellImage>
    <xdr:pic>
      <xdr:nvPicPr>
        <xdr:cNvPr id="282" name="ID_C14D44FDB0624888A0F89EF2C9B86E95"/>
        <xdr:cNvPicPr>
          <a:picLocks noChangeAspect="1"/>
        </xdr:cNvPicPr>
      </xdr:nvPicPr>
      <xdr:blipFill>
        <a:blip r:embed="rId270"/>
        <a:srcRect l="6834" t="15956" r="7399" b="21448"/>
        <a:stretch>
          <a:fillRect/>
        </a:stretch>
      </xdr:blipFill>
      <xdr:spPr>
        <a:xfrm>
          <a:off x="12405360" y="409066365"/>
          <a:ext cx="2005965" cy="1694815"/>
        </a:xfrm>
        <a:prstGeom prst="rect">
          <a:avLst/>
        </a:prstGeom>
        <a:noFill/>
        <a:ln w="9525">
          <a:noFill/>
        </a:ln>
      </xdr:spPr>
    </xdr:pic>
  </etc:cellImage>
  <etc:cellImage>
    <xdr:pic>
      <xdr:nvPicPr>
        <xdr:cNvPr id="283" name="ID_DC31741293F34F76BF05A93C86F3AF63"/>
        <xdr:cNvPicPr>
          <a:picLocks noChangeAspect="1"/>
        </xdr:cNvPicPr>
      </xdr:nvPicPr>
      <xdr:blipFill>
        <a:blip r:embed="rId271"/>
        <a:srcRect t="15398"/>
        <a:stretch>
          <a:fillRect/>
        </a:stretch>
      </xdr:blipFill>
      <xdr:spPr>
        <a:xfrm>
          <a:off x="12357735" y="508194310"/>
          <a:ext cx="2101215" cy="2066290"/>
        </a:xfrm>
        <a:prstGeom prst="rect">
          <a:avLst/>
        </a:prstGeom>
        <a:noFill/>
        <a:ln w="9525">
          <a:noFill/>
        </a:ln>
      </xdr:spPr>
    </xdr:pic>
  </etc:cellImage>
  <etc:cellImage>
    <xdr:pic>
      <xdr:nvPicPr>
        <xdr:cNvPr id="284" name="ID_F0AEDF39193943E8AF3C1A28D4B5574C"/>
        <xdr:cNvPicPr>
          <a:picLocks noChangeAspect="1"/>
        </xdr:cNvPicPr>
      </xdr:nvPicPr>
      <xdr:blipFill>
        <a:blip r:embed="rId272"/>
        <a:srcRect l="36743"/>
        <a:stretch>
          <a:fillRect/>
        </a:stretch>
      </xdr:blipFill>
      <xdr:spPr>
        <a:xfrm>
          <a:off x="12623800" y="411098365"/>
          <a:ext cx="1568450" cy="1948180"/>
        </a:xfrm>
        <a:prstGeom prst="rect">
          <a:avLst/>
        </a:prstGeom>
        <a:noFill/>
        <a:ln w="9525">
          <a:noFill/>
        </a:ln>
      </xdr:spPr>
    </xdr:pic>
  </etc:cellImage>
  <etc:cellImage>
    <xdr:pic>
      <xdr:nvPicPr>
        <xdr:cNvPr id="285" name="ID_FB07ABB4311D452BBB9A8FEF7005DBA9" descr="5斤黄冰糖散装老冰糖小粒冰糖单晶白冰糖特产级土云南冰糖旗舰店_虎窝淘"/>
        <xdr:cNvPicPr>
          <a:picLocks noChangeAspect="1"/>
        </xdr:cNvPicPr>
      </xdr:nvPicPr>
      <xdr:blipFill>
        <a:blip r:embed="rId273" r:link="rId274"/>
        <a:srcRect l="4075" t="15229" r="4549" b="8525"/>
        <a:stretch>
          <a:fillRect/>
        </a:stretch>
      </xdr:blipFill>
      <xdr:spPr>
        <a:xfrm>
          <a:off x="12376150" y="510372360"/>
          <a:ext cx="2064385" cy="2035810"/>
        </a:xfrm>
        <a:prstGeom prst="rect">
          <a:avLst/>
        </a:prstGeom>
        <a:noFill/>
        <a:ln>
          <a:noFill/>
        </a:ln>
      </xdr:spPr>
    </xdr:pic>
  </etc:cellImage>
  <etc:cellImage>
    <xdr:pic>
      <xdr:nvPicPr>
        <xdr:cNvPr id="286" name="ID_131E28329668417B9A42F28E4B073F22"/>
        <xdr:cNvPicPr>
          <a:picLocks noChangeAspect="1"/>
        </xdr:cNvPicPr>
      </xdr:nvPicPr>
      <xdr:blipFill>
        <a:blip r:embed="rId275"/>
        <a:stretch>
          <a:fillRect/>
        </a:stretch>
      </xdr:blipFill>
      <xdr:spPr>
        <a:xfrm>
          <a:off x="12384405" y="415374455"/>
          <a:ext cx="2047875" cy="2040890"/>
        </a:xfrm>
        <a:prstGeom prst="rect">
          <a:avLst/>
        </a:prstGeom>
        <a:noFill/>
        <a:ln w="9525">
          <a:noFill/>
        </a:ln>
      </xdr:spPr>
    </xdr:pic>
  </etc:cellImage>
  <etc:cellImage>
    <xdr:pic>
      <xdr:nvPicPr>
        <xdr:cNvPr id="287" name="ID_F0724FEEC3D24A148BAAECA045E0CF78"/>
        <xdr:cNvPicPr>
          <a:picLocks noChangeAspect="1"/>
        </xdr:cNvPicPr>
      </xdr:nvPicPr>
      <xdr:blipFill>
        <a:blip r:embed="rId276"/>
        <a:srcRect b="40562"/>
        <a:stretch>
          <a:fillRect/>
        </a:stretch>
      </xdr:blipFill>
      <xdr:spPr>
        <a:xfrm>
          <a:off x="12371705" y="782446365"/>
          <a:ext cx="2075180" cy="1948180"/>
        </a:xfrm>
        <a:prstGeom prst="rect">
          <a:avLst/>
        </a:prstGeom>
        <a:noFill/>
        <a:ln w="9525">
          <a:noFill/>
        </a:ln>
      </xdr:spPr>
    </xdr:pic>
  </etc:cellImage>
  <etc:cellImage>
    <xdr:pic>
      <xdr:nvPicPr>
        <xdr:cNvPr id="288" name="ID_39DAFEDA8B17422BA326FCBF6F87C116" descr="t010d3a02b8bdab8ee7"/>
        <xdr:cNvPicPr>
          <a:picLocks noChangeAspect="1"/>
        </xdr:cNvPicPr>
      </xdr:nvPicPr>
      <xdr:blipFill>
        <a:blip r:embed="rId277"/>
        <a:stretch>
          <a:fillRect/>
        </a:stretch>
      </xdr:blipFill>
      <xdr:spPr>
        <a:xfrm>
          <a:off x="12371705" y="419650545"/>
          <a:ext cx="2072640" cy="2124710"/>
        </a:xfrm>
        <a:prstGeom prst="rect">
          <a:avLst/>
        </a:prstGeom>
        <a:noFill/>
        <a:ln w="9525">
          <a:noFill/>
        </a:ln>
      </xdr:spPr>
    </xdr:pic>
  </etc:cellImage>
  <etc:cellImage>
    <xdr:pic>
      <xdr:nvPicPr>
        <xdr:cNvPr id="289" name="ID_F146EBCFC4604A86BA3EBD79BD0CDF7A" descr="百合"/>
        <xdr:cNvPicPr>
          <a:picLocks noChangeAspect="1"/>
        </xdr:cNvPicPr>
      </xdr:nvPicPr>
      <xdr:blipFill>
        <a:blip r:embed="rId278"/>
        <a:stretch>
          <a:fillRect/>
        </a:stretch>
      </xdr:blipFill>
      <xdr:spPr>
        <a:xfrm>
          <a:off x="12395200" y="618320455"/>
          <a:ext cx="2026285" cy="2032635"/>
        </a:xfrm>
        <a:prstGeom prst="rect">
          <a:avLst/>
        </a:prstGeom>
        <a:noFill/>
        <a:ln w="9525">
          <a:noFill/>
        </a:ln>
      </xdr:spPr>
    </xdr:pic>
  </etc:cellImage>
  <etc:cellImage>
    <xdr:pic>
      <xdr:nvPicPr>
        <xdr:cNvPr id="290" name="ID_D534DDA18FB0419C8E08647B8F621361"/>
        <xdr:cNvPicPr>
          <a:picLocks noChangeAspect="1"/>
        </xdr:cNvPicPr>
      </xdr:nvPicPr>
      <xdr:blipFill>
        <a:blip r:embed="rId279"/>
        <a:srcRect l="26379" t="17082" r="25926" b="44272"/>
        <a:stretch>
          <a:fillRect/>
        </a:stretch>
      </xdr:blipFill>
      <xdr:spPr>
        <a:xfrm>
          <a:off x="12359640" y="421826055"/>
          <a:ext cx="2097405" cy="2083435"/>
        </a:xfrm>
        <a:prstGeom prst="rect">
          <a:avLst/>
        </a:prstGeom>
        <a:noFill/>
        <a:ln w="9525">
          <a:noFill/>
        </a:ln>
      </xdr:spPr>
    </xdr:pic>
  </etc:cellImage>
  <etc:cellImage>
    <xdr:pic>
      <xdr:nvPicPr>
        <xdr:cNvPr id="291" name="ID_0B6585821F764F7EAB5F5A87796F9719"/>
        <xdr:cNvPicPr>
          <a:picLocks noChangeAspect="1"/>
        </xdr:cNvPicPr>
      </xdr:nvPicPr>
      <xdr:blipFill>
        <a:blip r:embed="rId280"/>
        <a:stretch>
          <a:fillRect/>
        </a:stretch>
      </xdr:blipFill>
      <xdr:spPr>
        <a:xfrm>
          <a:off x="12603480" y="570923420"/>
          <a:ext cx="1609725" cy="1830070"/>
        </a:xfrm>
        <a:prstGeom prst="rect">
          <a:avLst/>
        </a:prstGeom>
        <a:noFill/>
        <a:ln w="9525">
          <a:noFill/>
        </a:ln>
      </xdr:spPr>
    </xdr:pic>
  </etc:cellImage>
  <etc:cellImage>
    <xdr:pic>
      <xdr:nvPicPr>
        <xdr:cNvPr id="292" name="ID_95BE659DD914494BBE5FDAC5A960D573"/>
        <xdr:cNvPicPr>
          <a:picLocks noChangeAspect="1"/>
        </xdr:cNvPicPr>
      </xdr:nvPicPr>
      <xdr:blipFill>
        <a:blip r:embed="rId281"/>
        <a:stretch>
          <a:fillRect/>
        </a:stretch>
      </xdr:blipFill>
      <xdr:spPr>
        <a:xfrm>
          <a:off x="12359640" y="475792800"/>
          <a:ext cx="2095500" cy="2108200"/>
        </a:xfrm>
        <a:prstGeom prst="rect">
          <a:avLst/>
        </a:prstGeom>
        <a:noFill/>
        <a:ln w="9525">
          <a:noFill/>
        </a:ln>
      </xdr:spPr>
    </xdr:pic>
  </etc:cellImage>
  <etc:cellImage>
    <xdr:pic>
      <xdr:nvPicPr>
        <xdr:cNvPr id="293" name="ID_E85E02CC4668462FBD42BD513B9A77C8"/>
        <xdr:cNvPicPr>
          <a:picLocks noChangeAspect="1"/>
        </xdr:cNvPicPr>
      </xdr:nvPicPr>
      <xdr:blipFill>
        <a:blip r:embed="rId282"/>
        <a:stretch>
          <a:fillRect/>
        </a:stretch>
      </xdr:blipFill>
      <xdr:spPr>
        <a:xfrm>
          <a:off x="12698730" y="620546765"/>
          <a:ext cx="1418590" cy="1906270"/>
        </a:xfrm>
        <a:prstGeom prst="rect">
          <a:avLst/>
        </a:prstGeom>
        <a:noFill/>
        <a:ln w="9525">
          <a:noFill/>
        </a:ln>
      </xdr:spPr>
    </xdr:pic>
  </etc:cellImage>
  <etc:cellImage>
    <xdr:pic>
      <xdr:nvPicPr>
        <xdr:cNvPr id="294" name="ID_B4A0D2B510B7433C8CDBEA4E52149187"/>
        <xdr:cNvPicPr>
          <a:picLocks noChangeAspect="1"/>
        </xdr:cNvPicPr>
      </xdr:nvPicPr>
      <xdr:blipFill>
        <a:blip r:embed="rId283"/>
        <a:srcRect l="28110" t="13914" r="23950" b="36023"/>
        <a:stretch>
          <a:fillRect/>
        </a:stretch>
      </xdr:blipFill>
      <xdr:spPr>
        <a:xfrm>
          <a:off x="12632690" y="426211365"/>
          <a:ext cx="1553845" cy="1948180"/>
        </a:xfrm>
        <a:prstGeom prst="rect">
          <a:avLst/>
        </a:prstGeom>
        <a:noFill/>
        <a:ln w="9525">
          <a:noFill/>
        </a:ln>
      </xdr:spPr>
    </xdr:pic>
  </etc:cellImage>
  <etc:cellImage>
    <xdr:pic>
      <xdr:nvPicPr>
        <xdr:cNvPr id="295" name="ID_8EAD5B1ED02D4AD2B9ADA8EAEB2CEA6B" descr="白心火龙果"/>
        <xdr:cNvPicPr>
          <a:picLocks noChangeAspect="1"/>
        </xdr:cNvPicPr>
      </xdr:nvPicPr>
      <xdr:blipFill>
        <a:blip r:embed="rId284"/>
        <a:stretch>
          <a:fillRect/>
        </a:stretch>
      </xdr:blipFill>
      <xdr:spPr>
        <a:xfrm>
          <a:off x="12363450" y="1188288200"/>
          <a:ext cx="2089150" cy="2049145"/>
        </a:xfrm>
        <a:prstGeom prst="rect">
          <a:avLst/>
        </a:prstGeom>
        <a:noFill/>
        <a:ln w="9525">
          <a:noFill/>
        </a:ln>
      </xdr:spPr>
    </xdr:pic>
  </etc:cellImage>
  <etc:cellImage>
    <xdr:pic>
      <xdr:nvPicPr>
        <xdr:cNvPr id="296" name="ID_7FE44DAD7AEC475DB60C4692BFBD04CB"/>
        <xdr:cNvPicPr>
          <a:picLocks noChangeAspect="1"/>
        </xdr:cNvPicPr>
      </xdr:nvPicPr>
      <xdr:blipFill>
        <a:blip r:embed="rId285"/>
        <a:srcRect l="29503" t="14651" r="24452" b="35339"/>
        <a:stretch>
          <a:fillRect/>
        </a:stretch>
      </xdr:blipFill>
      <xdr:spPr>
        <a:xfrm>
          <a:off x="12727940" y="428294800"/>
          <a:ext cx="1360170" cy="2108200"/>
        </a:xfrm>
        <a:prstGeom prst="rect">
          <a:avLst/>
        </a:prstGeom>
        <a:noFill/>
        <a:ln w="9525">
          <a:noFill/>
        </a:ln>
      </xdr:spPr>
    </xdr:pic>
  </etc:cellImage>
  <etc:cellImage>
    <xdr:pic>
      <xdr:nvPicPr>
        <xdr:cNvPr id="297" name="ID_D8130456DD3547F1A2A404811BED2EC2"/>
        <xdr:cNvPicPr>
          <a:picLocks noChangeAspect="1"/>
        </xdr:cNvPicPr>
      </xdr:nvPicPr>
      <xdr:blipFill>
        <a:blip r:embed="rId286"/>
        <a:srcRect b="12521"/>
        <a:stretch>
          <a:fillRect/>
        </a:stretch>
      </xdr:blipFill>
      <xdr:spPr>
        <a:xfrm>
          <a:off x="12378055" y="432730910"/>
          <a:ext cx="2060575" cy="1871980"/>
        </a:xfrm>
        <a:prstGeom prst="rect">
          <a:avLst/>
        </a:prstGeom>
        <a:noFill/>
        <a:ln w="9525">
          <a:noFill/>
        </a:ln>
      </xdr:spPr>
    </xdr:pic>
  </etc:cellImage>
  <etc:cellImage>
    <xdr:pic>
      <xdr:nvPicPr>
        <xdr:cNvPr id="298" name="ID_FDF3CFA489954627842A38B3A5C551A6"/>
        <xdr:cNvPicPr>
          <a:picLocks noChangeAspect="1"/>
        </xdr:cNvPicPr>
      </xdr:nvPicPr>
      <xdr:blipFill>
        <a:blip r:embed="rId287"/>
        <a:stretch>
          <a:fillRect/>
        </a:stretch>
      </xdr:blipFill>
      <xdr:spPr>
        <a:xfrm>
          <a:off x="12403455" y="441290710"/>
          <a:ext cx="2009775" cy="2015490"/>
        </a:xfrm>
        <a:prstGeom prst="rect">
          <a:avLst/>
        </a:prstGeom>
        <a:noFill/>
        <a:ln w="9525">
          <a:noFill/>
        </a:ln>
      </xdr:spPr>
    </xdr:pic>
  </etc:cellImage>
  <etc:cellImage>
    <xdr:pic>
      <xdr:nvPicPr>
        <xdr:cNvPr id="299" name="ID_C9B69CC894A441EDAAA9C3741873AF6F" descr="t01598964c5f7a8761b"/>
        <xdr:cNvPicPr>
          <a:picLocks noChangeAspect="1"/>
        </xdr:cNvPicPr>
      </xdr:nvPicPr>
      <xdr:blipFill>
        <a:blip r:embed="rId288"/>
        <a:stretch>
          <a:fillRect/>
        </a:stretch>
      </xdr:blipFill>
      <xdr:spPr>
        <a:xfrm>
          <a:off x="12355195" y="445566800"/>
          <a:ext cx="2106295" cy="2108200"/>
        </a:xfrm>
        <a:prstGeom prst="rect">
          <a:avLst/>
        </a:prstGeom>
        <a:noFill/>
        <a:ln w="9525">
          <a:noFill/>
        </a:ln>
      </xdr:spPr>
    </xdr:pic>
  </etc:cellImage>
  <etc:cellImage>
    <xdr:pic>
      <xdr:nvPicPr>
        <xdr:cNvPr id="300" name="ID_C34EEDA8D41F433380E65434D91C2020" descr="1758469542079"/>
        <xdr:cNvPicPr>
          <a:picLocks noChangeAspect="1"/>
        </xdr:cNvPicPr>
      </xdr:nvPicPr>
      <xdr:blipFill>
        <a:blip r:embed="rId289"/>
        <a:stretch>
          <a:fillRect/>
        </a:stretch>
      </xdr:blipFill>
      <xdr:spPr>
        <a:xfrm>
          <a:off x="12359640" y="544948110"/>
          <a:ext cx="2095500" cy="1973580"/>
        </a:xfrm>
        <a:prstGeom prst="rect">
          <a:avLst/>
        </a:prstGeom>
        <a:noFill/>
        <a:ln w="9525">
          <a:noFill/>
        </a:ln>
      </xdr:spPr>
    </xdr:pic>
  </etc:cellImage>
  <etc:cellImage>
    <xdr:pic>
      <xdr:nvPicPr>
        <xdr:cNvPr id="301" name="ID_8C743240461C40C99256B32A4A98142D"/>
        <xdr:cNvPicPr>
          <a:picLocks noChangeAspect="1"/>
        </xdr:cNvPicPr>
      </xdr:nvPicPr>
      <xdr:blipFill>
        <a:blip r:embed="rId290"/>
        <a:stretch>
          <a:fillRect/>
        </a:stretch>
      </xdr:blipFill>
      <xdr:spPr>
        <a:xfrm>
          <a:off x="13021945" y="454194545"/>
          <a:ext cx="772795" cy="2124710"/>
        </a:xfrm>
        <a:prstGeom prst="rect">
          <a:avLst/>
        </a:prstGeom>
        <a:noFill/>
        <a:ln w="9525">
          <a:noFill/>
        </a:ln>
      </xdr:spPr>
    </xdr:pic>
  </etc:cellImage>
  <etc:cellImage>
    <xdr:pic>
      <xdr:nvPicPr>
        <xdr:cNvPr id="302" name="ID_6F875483CA894F82B511076EB54CDFD2"/>
        <xdr:cNvPicPr>
          <a:picLocks noChangeAspect="1"/>
        </xdr:cNvPicPr>
      </xdr:nvPicPr>
      <xdr:blipFill>
        <a:blip r:embed="rId291"/>
        <a:srcRect l="46870" t="9377" r="282" b="2565"/>
        <a:stretch>
          <a:fillRect/>
        </a:stretch>
      </xdr:blipFill>
      <xdr:spPr>
        <a:xfrm>
          <a:off x="12688570" y="456370055"/>
          <a:ext cx="1439545" cy="2091690"/>
        </a:xfrm>
        <a:prstGeom prst="rect">
          <a:avLst/>
        </a:prstGeom>
        <a:noFill/>
        <a:ln w="9525">
          <a:noFill/>
        </a:ln>
      </xdr:spPr>
    </xdr:pic>
  </etc:cellImage>
  <etc:cellImage>
    <xdr:pic>
      <xdr:nvPicPr>
        <xdr:cNvPr id="303" name="ID_C1BD12A5159649879FF243D6E15216D3" descr=" "/>
        <xdr:cNvPicPr>
          <a:picLocks noChangeAspect="1"/>
        </xdr:cNvPicPr>
      </xdr:nvPicPr>
      <xdr:blipFill>
        <a:blip r:embed="rId292"/>
        <a:stretch>
          <a:fillRect/>
        </a:stretch>
      </xdr:blipFill>
      <xdr:spPr>
        <a:xfrm>
          <a:off x="12811760" y="603165545"/>
          <a:ext cx="1193165" cy="2124710"/>
        </a:xfrm>
        <a:prstGeom prst="rect">
          <a:avLst/>
        </a:prstGeom>
        <a:noFill/>
        <a:ln w="9525">
          <a:noFill/>
        </a:ln>
      </xdr:spPr>
    </xdr:pic>
  </etc:cellImage>
  <etc:cellImage>
    <xdr:pic>
      <xdr:nvPicPr>
        <xdr:cNvPr id="304" name="ID_2FF2DEDC0A1148F98632D88F74B2A05C" descr="瓢白（云南）"/>
        <xdr:cNvPicPr>
          <a:picLocks noChangeAspect="1"/>
        </xdr:cNvPicPr>
      </xdr:nvPicPr>
      <xdr:blipFill>
        <a:blip r:embed="rId293"/>
        <a:stretch>
          <a:fillRect/>
        </a:stretch>
      </xdr:blipFill>
      <xdr:spPr>
        <a:xfrm>
          <a:off x="12371705" y="965902310"/>
          <a:ext cx="2072640" cy="2075180"/>
        </a:xfrm>
        <a:prstGeom prst="rect">
          <a:avLst/>
        </a:prstGeom>
        <a:noFill/>
        <a:ln w="9525">
          <a:noFill/>
        </a:ln>
      </xdr:spPr>
    </xdr:pic>
  </etc:cellImage>
  <etc:cellImage>
    <xdr:pic>
      <xdr:nvPicPr>
        <xdr:cNvPr id="305" name="ID_5F8949B9CC7C47D388BF3AB3FB7FE2A5"/>
        <xdr:cNvPicPr>
          <a:picLocks noChangeAspect="1"/>
        </xdr:cNvPicPr>
      </xdr:nvPicPr>
      <xdr:blipFill>
        <a:blip r:embed="rId294"/>
        <a:stretch>
          <a:fillRect/>
        </a:stretch>
      </xdr:blipFill>
      <xdr:spPr>
        <a:xfrm>
          <a:off x="12365990" y="657157055"/>
          <a:ext cx="2084705" cy="2083435"/>
        </a:xfrm>
        <a:prstGeom prst="rect">
          <a:avLst/>
        </a:prstGeom>
        <a:noFill/>
        <a:ln w="9525">
          <a:noFill/>
        </a:ln>
      </xdr:spPr>
    </xdr:pic>
  </etc:cellImage>
  <etc:cellImage>
    <xdr:pic>
      <xdr:nvPicPr>
        <xdr:cNvPr id="306" name="ID_7C5A741586F648A495CF488CDE699CA3"/>
        <xdr:cNvPicPr>
          <a:picLocks noChangeAspect="1"/>
        </xdr:cNvPicPr>
      </xdr:nvPicPr>
      <xdr:blipFill>
        <a:blip r:embed="rId295"/>
        <a:stretch>
          <a:fillRect/>
        </a:stretch>
      </xdr:blipFill>
      <xdr:spPr>
        <a:xfrm>
          <a:off x="12507595" y="458537310"/>
          <a:ext cx="1801495" cy="2075180"/>
        </a:xfrm>
        <a:prstGeom prst="rect">
          <a:avLst/>
        </a:prstGeom>
        <a:noFill/>
        <a:ln w="9525">
          <a:noFill/>
        </a:ln>
      </xdr:spPr>
    </xdr:pic>
  </etc:cellImage>
  <etc:cellImage>
    <xdr:pic>
      <xdr:nvPicPr>
        <xdr:cNvPr id="307" name="ID_D3D566092DE34BCD804EA9889739E64D"/>
        <xdr:cNvPicPr>
          <a:picLocks noChangeAspect="1"/>
        </xdr:cNvPicPr>
      </xdr:nvPicPr>
      <xdr:blipFill>
        <a:blip r:embed="rId296"/>
        <a:srcRect l="5882" t="8516" b="11093"/>
        <a:stretch>
          <a:fillRect/>
        </a:stretch>
      </xdr:blipFill>
      <xdr:spPr>
        <a:xfrm>
          <a:off x="12395200" y="460730600"/>
          <a:ext cx="2026285" cy="2006600"/>
        </a:xfrm>
        <a:prstGeom prst="rect">
          <a:avLst/>
        </a:prstGeom>
        <a:noFill/>
        <a:ln w="9525">
          <a:noFill/>
        </a:ln>
      </xdr:spPr>
    </xdr:pic>
  </etc:cellImage>
  <etc:cellImage>
    <xdr:pic>
      <xdr:nvPicPr>
        <xdr:cNvPr id="308" name="ID_F9D3A21AC47B4CF0B43C6C8BAFA0301F"/>
        <xdr:cNvPicPr>
          <a:picLocks noChangeAspect="1"/>
        </xdr:cNvPicPr>
      </xdr:nvPicPr>
      <xdr:blipFill>
        <a:blip r:embed="rId297"/>
        <a:stretch>
          <a:fillRect/>
        </a:stretch>
      </xdr:blipFill>
      <xdr:spPr>
        <a:xfrm>
          <a:off x="12588875" y="471483055"/>
          <a:ext cx="1640840" cy="2091690"/>
        </a:xfrm>
        <a:prstGeom prst="rect">
          <a:avLst/>
        </a:prstGeom>
        <a:noFill/>
        <a:ln w="9525">
          <a:noFill/>
        </a:ln>
      </xdr:spPr>
    </xdr:pic>
  </etc:cellImage>
  <etc:cellImage>
    <xdr:pic>
      <xdr:nvPicPr>
        <xdr:cNvPr id="309" name="ID_B528FE363A1B4733A21D8EE7C8242026" descr="花椒面"/>
        <xdr:cNvPicPr>
          <a:picLocks noChangeAspect="1"/>
        </xdr:cNvPicPr>
      </xdr:nvPicPr>
      <xdr:blipFill>
        <a:blip r:embed="rId298"/>
        <a:stretch>
          <a:fillRect/>
        </a:stretch>
      </xdr:blipFill>
      <xdr:spPr>
        <a:xfrm>
          <a:off x="12374245" y="834212200"/>
          <a:ext cx="2066290" cy="2049145"/>
        </a:xfrm>
        <a:prstGeom prst="rect">
          <a:avLst/>
        </a:prstGeom>
        <a:noFill/>
        <a:ln w="9525">
          <a:noFill/>
        </a:ln>
      </xdr:spPr>
    </xdr:pic>
  </etc:cellImage>
  <etc:cellImage>
    <xdr:pic>
      <xdr:nvPicPr>
        <xdr:cNvPr id="310" name="ID_7285848884FE4AC0B7BACD83C79AFE58"/>
        <xdr:cNvPicPr>
          <a:picLocks noChangeAspect="1"/>
        </xdr:cNvPicPr>
      </xdr:nvPicPr>
      <xdr:blipFill>
        <a:blip r:embed="rId299"/>
        <a:stretch>
          <a:fillRect/>
        </a:stretch>
      </xdr:blipFill>
      <xdr:spPr>
        <a:xfrm>
          <a:off x="12378055" y="521148310"/>
          <a:ext cx="2060575" cy="2075180"/>
        </a:xfrm>
        <a:prstGeom prst="rect">
          <a:avLst/>
        </a:prstGeom>
        <a:noFill/>
        <a:ln w="9525">
          <a:noFill/>
        </a:ln>
      </xdr:spPr>
    </xdr:pic>
  </etc:cellImage>
  <etc:cellImage>
    <xdr:pic>
      <xdr:nvPicPr>
        <xdr:cNvPr id="311" name="ID_8A17705DCBC540D3A3AA9857A2688987" descr="玉米糁"/>
        <xdr:cNvPicPr>
          <a:picLocks noChangeAspect="1"/>
        </xdr:cNvPicPr>
      </xdr:nvPicPr>
      <xdr:blipFill>
        <a:blip r:embed="rId300"/>
        <a:stretch>
          <a:fillRect/>
        </a:stretch>
      </xdr:blipFill>
      <xdr:spPr>
        <a:xfrm>
          <a:off x="12400915" y="680923200"/>
          <a:ext cx="2014220" cy="2049145"/>
        </a:xfrm>
        <a:prstGeom prst="rect">
          <a:avLst/>
        </a:prstGeom>
        <a:noFill/>
        <a:ln w="9525">
          <a:noFill/>
        </a:ln>
      </xdr:spPr>
    </xdr:pic>
  </etc:cellImage>
  <etc:cellImage>
    <xdr:pic>
      <xdr:nvPicPr>
        <xdr:cNvPr id="312" name="ID_2E48964ED9DB44CF904F3AEA105FC877" descr="tb_image_share_1758868898590.jpg"/>
        <xdr:cNvPicPr>
          <a:picLocks noChangeAspect="1"/>
        </xdr:cNvPicPr>
      </xdr:nvPicPr>
      <xdr:blipFill>
        <a:blip r:embed="rId301"/>
        <a:srcRect l="32018" t="12086" r="11597" b="49586"/>
        <a:stretch>
          <a:fillRect/>
        </a:stretch>
      </xdr:blipFill>
      <xdr:spPr>
        <a:xfrm>
          <a:off x="12382500" y="478086420"/>
          <a:ext cx="2051685" cy="1838960"/>
        </a:xfrm>
        <a:prstGeom prst="rect">
          <a:avLst/>
        </a:prstGeom>
        <a:noFill/>
        <a:ln w="9525">
          <a:noFill/>
        </a:ln>
      </xdr:spPr>
    </xdr:pic>
  </etc:cellImage>
  <etc:cellImage>
    <xdr:pic>
      <xdr:nvPicPr>
        <xdr:cNvPr id="313" name="ID_9C0745CFC2894ED6B46743E5E543EE58" descr="a4a9e54a24bd4ff9afb770ded3331244.jpg (1338×1004)"/>
        <xdr:cNvPicPr>
          <a:picLocks noChangeAspect="1"/>
        </xdr:cNvPicPr>
      </xdr:nvPicPr>
      <xdr:blipFill>
        <a:blip r:embed="rId302"/>
        <a:stretch>
          <a:fillRect/>
        </a:stretch>
      </xdr:blipFill>
      <xdr:spPr>
        <a:xfrm rot="5400000">
          <a:off x="12374880" y="529957665"/>
          <a:ext cx="2066290" cy="1718945"/>
        </a:xfrm>
        <a:prstGeom prst="rect">
          <a:avLst/>
        </a:prstGeom>
        <a:noFill/>
        <a:ln w="9525">
          <a:noFill/>
        </a:ln>
      </xdr:spPr>
    </xdr:pic>
  </etc:cellImage>
  <etc:cellImage>
    <xdr:pic>
      <xdr:nvPicPr>
        <xdr:cNvPr id="314" name="ID_C03AFB37F27D4FFB8458CAE5D90FF29F"/>
        <xdr:cNvPicPr>
          <a:picLocks noChangeAspect="1"/>
        </xdr:cNvPicPr>
      </xdr:nvPicPr>
      <xdr:blipFill>
        <a:blip r:embed="rId303"/>
        <a:stretch>
          <a:fillRect/>
        </a:stretch>
      </xdr:blipFill>
      <xdr:spPr>
        <a:xfrm>
          <a:off x="12371705" y="480127310"/>
          <a:ext cx="2070735" cy="2075180"/>
        </a:xfrm>
        <a:prstGeom prst="rect">
          <a:avLst/>
        </a:prstGeom>
        <a:noFill/>
        <a:ln w="9525">
          <a:noFill/>
        </a:ln>
      </xdr:spPr>
    </xdr:pic>
  </etc:cellImage>
  <etc:cellImage>
    <xdr:pic>
      <xdr:nvPicPr>
        <xdr:cNvPr id="315" name="ID_9D46D8D6D5B748A59032E6FCB53D5B81"/>
        <xdr:cNvPicPr>
          <a:picLocks noChangeAspect="1"/>
        </xdr:cNvPicPr>
      </xdr:nvPicPr>
      <xdr:blipFill>
        <a:blip r:embed="rId304"/>
        <a:stretch>
          <a:fillRect/>
        </a:stretch>
      </xdr:blipFill>
      <xdr:spPr>
        <a:xfrm>
          <a:off x="12853035" y="486655110"/>
          <a:ext cx="1110615" cy="1973580"/>
        </a:xfrm>
        <a:prstGeom prst="rect">
          <a:avLst/>
        </a:prstGeom>
        <a:noFill/>
        <a:ln w="9525">
          <a:noFill/>
        </a:ln>
      </xdr:spPr>
    </xdr:pic>
  </etc:cellImage>
  <etc:cellImage>
    <xdr:pic>
      <xdr:nvPicPr>
        <xdr:cNvPr id="316" name="ID_89DEF79DA291487AA4501ACD718D093F"/>
        <xdr:cNvPicPr>
          <a:picLocks noChangeAspect="1"/>
        </xdr:cNvPicPr>
      </xdr:nvPicPr>
      <xdr:blipFill>
        <a:blip r:embed="rId305"/>
        <a:stretch>
          <a:fillRect/>
        </a:stretch>
      </xdr:blipFill>
      <xdr:spPr>
        <a:xfrm>
          <a:off x="12853035" y="538555565"/>
          <a:ext cx="1110615" cy="1804670"/>
        </a:xfrm>
        <a:prstGeom prst="rect">
          <a:avLst/>
        </a:prstGeom>
        <a:noFill/>
        <a:ln w="9525">
          <a:noFill/>
        </a:ln>
      </xdr:spPr>
    </xdr:pic>
  </etc:cellImage>
  <etc:cellImage>
    <xdr:pic>
      <xdr:nvPicPr>
        <xdr:cNvPr id="317" name="ID_F2D4665C2F3344B1A5669DB2EBF0BDEF"/>
        <xdr:cNvPicPr>
          <a:picLocks noChangeAspect="1"/>
        </xdr:cNvPicPr>
      </xdr:nvPicPr>
      <xdr:blipFill>
        <a:blip r:embed="rId306"/>
        <a:srcRect t="25540"/>
        <a:stretch>
          <a:fillRect/>
        </a:stretch>
      </xdr:blipFill>
      <xdr:spPr>
        <a:xfrm>
          <a:off x="12371705" y="931341800"/>
          <a:ext cx="2072640" cy="2099945"/>
        </a:xfrm>
        <a:prstGeom prst="rect">
          <a:avLst/>
        </a:prstGeom>
        <a:noFill/>
        <a:ln w="9525">
          <a:noFill/>
        </a:ln>
      </xdr:spPr>
    </xdr:pic>
  </etc:cellImage>
  <etc:cellImage>
    <xdr:pic>
      <xdr:nvPicPr>
        <xdr:cNvPr id="318" name="ID_28B696B54FE54305BE440A4225CF19B9" descr="F57938887AAAC2851C02E1A9694464FC"/>
        <xdr:cNvPicPr>
          <a:picLocks noChangeAspect="1"/>
        </xdr:cNvPicPr>
      </xdr:nvPicPr>
      <xdr:blipFill>
        <a:blip r:embed="rId307"/>
        <a:stretch>
          <a:fillRect/>
        </a:stretch>
      </xdr:blipFill>
      <xdr:spPr>
        <a:xfrm>
          <a:off x="12400915" y="488839510"/>
          <a:ext cx="2014220" cy="1914525"/>
        </a:xfrm>
        <a:prstGeom prst="rect">
          <a:avLst/>
        </a:prstGeom>
        <a:noFill/>
        <a:ln w="9525">
          <a:noFill/>
        </a:ln>
      </xdr:spPr>
    </xdr:pic>
  </etc:cellImage>
  <etc:cellImage>
    <xdr:pic>
      <xdr:nvPicPr>
        <xdr:cNvPr id="319" name="ID_3D8B3A35C7E1421F980A3E27FDBE7660" descr="t049996591b2ac19e93"/>
        <xdr:cNvPicPr>
          <a:picLocks noChangeAspect="1"/>
        </xdr:cNvPicPr>
      </xdr:nvPicPr>
      <xdr:blipFill>
        <a:blip r:embed="rId308"/>
        <a:stretch>
          <a:fillRect/>
        </a:stretch>
      </xdr:blipFill>
      <xdr:spPr>
        <a:xfrm>
          <a:off x="12359640" y="495232055"/>
          <a:ext cx="2095500" cy="2091690"/>
        </a:xfrm>
        <a:prstGeom prst="rect">
          <a:avLst/>
        </a:prstGeom>
        <a:noFill/>
        <a:ln w="9525">
          <a:noFill/>
        </a:ln>
      </xdr:spPr>
    </xdr:pic>
  </etc:cellImage>
  <etc:cellImage>
    <xdr:pic>
      <xdr:nvPicPr>
        <xdr:cNvPr id="321" name="ID_A37C4DA5B2CE422BB1A7A9C9D6FDB166"/>
        <xdr:cNvPicPr>
          <a:picLocks noChangeAspect="1"/>
        </xdr:cNvPicPr>
      </xdr:nvPicPr>
      <xdr:blipFill>
        <a:blip r:embed="rId309" r:link="rId274"/>
        <a:stretch>
          <a:fillRect/>
        </a:stretch>
      </xdr:blipFill>
      <xdr:spPr>
        <a:xfrm>
          <a:off x="12371070" y="499572280"/>
          <a:ext cx="2074545" cy="2046605"/>
        </a:xfrm>
        <a:prstGeom prst="rect">
          <a:avLst/>
        </a:prstGeom>
        <a:noFill/>
        <a:ln>
          <a:noFill/>
        </a:ln>
      </xdr:spPr>
    </xdr:pic>
  </etc:cellImage>
  <etc:cellImage>
    <xdr:pic>
      <xdr:nvPicPr>
        <xdr:cNvPr id="322" name="ID_2548BBB29C7643DC9D0301CCBA9E4C74" descr="干红花椒"/>
        <xdr:cNvPicPr>
          <a:picLocks noChangeAspect="1"/>
        </xdr:cNvPicPr>
      </xdr:nvPicPr>
      <xdr:blipFill>
        <a:blip r:embed="rId310"/>
        <a:stretch>
          <a:fillRect/>
        </a:stretch>
      </xdr:blipFill>
      <xdr:spPr>
        <a:xfrm>
          <a:off x="12397105" y="803977310"/>
          <a:ext cx="2022475" cy="2066290"/>
        </a:xfrm>
        <a:prstGeom prst="rect">
          <a:avLst/>
        </a:prstGeom>
        <a:noFill/>
        <a:ln w="9525">
          <a:noFill/>
        </a:ln>
      </xdr:spPr>
    </xdr:pic>
  </etc:cellImage>
  <etc:cellImage>
    <xdr:pic>
      <xdr:nvPicPr>
        <xdr:cNvPr id="323" name="ID_3898CCCF9ED24C18B78C4CE65674FB6F"/>
        <xdr:cNvPicPr>
          <a:picLocks noChangeAspect="1"/>
        </xdr:cNvPicPr>
      </xdr:nvPicPr>
      <xdr:blipFill>
        <a:blip r:embed="rId311"/>
        <a:srcRect r="296" b="17181"/>
        <a:stretch>
          <a:fillRect/>
        </a:stretch>
      </xdr:blipFill>
      <xdr:spPr>
        <a:xfrm>
          <a:off x="12797155" y="504011565"/>
          <a:ext cx="1222375" cy="1804670"/>
        </a:xfrm>
        <a:prstGeom prst="rect">
          <a:avLst/>
        </a:prstGeom>
        <a:noFill/>
        <a:ln w="9525">
          <a:noFill/>
        </a:ln>
      </xdr:spPr>
    </xdr:pic>
  </etc:cellImage>
  <etc:cellImage>
    <xdr:pic>
      <xdr:nvPicPr>
        <xdr:cNvPr id="324" name="ID_32E0567227FB4EE5A0A739CFDA9B5B3F" descr="花生米"/>
        <xdr:cNvPicPr>
          <a:picLocks noChangeAspect="1"/>
        </xdr:cNvPicPr>
      </xdr:nvPicPr>
      <xdr:blipFill>
        <a:blip r:embed="rId312"/>
        <a:stretch>
          <a:fillRect/>
        </a:stretch>
      </xdr:blipFill>
      <xdr:spPr>
        <a:xfrm>
          <a:off x="12390755" y="555717710"/>
          <a:ext cx="2035175" cy="2015490"/>
        </a:xfrm>
        <a:prstGeom prst="rect">
          <a:avLst/>
        </a:prstGeom>
        <a:noFill/>
        <a:ln w="9525">
          <a:noFill/>
        </a:ln>
      </xdr:spPr>
    </xdr:pic>
  </etc:cellImage>
  <etc:cellImage>
    <xdr:pic>
      <xdr:nvPicPr>
        <xdr:cNvPr id="325" name="ID_EBF5F61E41D143C7A4808CFD5090A568"/>
        <xdr:cNvPicPr>
          <a:picLocks noChangeAspect="1"/>
        </xdr:cNvPicPr>
      </xdr:nvPicPr>
      <xdr:blipFill>
        <a:blip r:embed="rId313"/>
        <a:stretch>
          <a:fillRect/>
        </a:stretch>
      </xdr:blipFill>
      <xdr:spPr>
        <a:xfrm>
          <a:off x="12542520" y="506052455"/>
          <a:ext cx="1731010" cy="2032635"/>
        </a:xfrm>
        <a:prstGeom prst="rect">
          <a:avLst/>
        </a:prstGeom>
        <a:noFill/>
        <a:ln w="9525">
          <a:noFill/>
        </a:ln>
      </xdr:spPr>
    </xdr:pic>
  </etc:cellImage>
  <etc:cellImage>
    <xdr:pic>
      <xdr:nvPicPr>
        <xdr:cNvPr id="326" name="ID_F074E242A18F4BDA9F2BB981CFD11292"/>
        <xdr:cNvPicPr>
          <a:picLocks noChangeAspect="1"/>
        </xdr:cNvPicPr>
      </xdr:nvPicPr>
      <xdr:blipFill>
        <a:blip r:embed="rId314"/>
        <a:stretch>
          <a:fillRect/>
        </a:stretch>
      </xdr:blipFill>
      <xdr:spPr>
        <a:xfrm>
          <a:off x="12403455" y="717609055"/>
          <a:ext cx="2007870" cy="2091690"/>
        </a:xfrm>
        <a:prstGeom prst="rect">
          <a:avLst/>
        </a:prstGeom>
        <a:noFill/>
        <a:ln w="9525">
          <a:noFill/>
        </a:ln>
      </xdr:spPr>
    </xdr:pic>
  </etc:cellImage>
  <etc:cellImage>
    <xdr:pic>
      <xdr:nvPicPr>
        <xdr:cNvPr id="327" name="ID_C51F4D2046554CEF855624FB067DD50A"/>
        <xdr:cNvPicPr>
          <a:picLocks noChangeAspect="1"/>
        </xdr:cNvPicPr>
      </xdr:nvPicPr>
      <xdr:blipFill>
        <a:blip r:embed="rId315"/>
        <a:srcRect l="12321" t="15681" r="12599"/>
        <a:stretch>
          <a:fillRect/>
        </a:stretch>
      </xdr:blipFill>
      <xdr:spPr>
        <a:xfrm>
          <a:off x="12380595" y="512512310"/>
          <a:ext cx="2055495" cy="2066290"/>
        </a:xfrm>
        <a:prstGeom prst="rect">
          <a:avLst/>
        </a:prstGeom>
        <a:noFill/>
        <a:ln w="9525">
          <a:noFill/>
        </a:ln>
      </xdr:spPr>
    </xdr:pic>
  </etc:cellImage>
  <etc:cellImage>
    <xdr:pic>
      <xdr:nvPicPr>
        <xdr:cNvPr id="328" name="ID_F37FC8B45EDD4FC892A2603E757E64BF"/>
        <xdr:cNvPicPr>
          <a:picLocks noChangeAspect="1"/>
        </xdr:cNvPicPr>
      </xdr:nvPicPr>
      <xdr:blipFill>
        <a:blip r:embed="rId316"/>
        <a:stretch>
          <a:fillRect/>
        </a:stretch>
      </xdr:blipFill>
      <xdr:spPr>
        <a:xfrm>
          <a:off x="12411710" y="663676600"/>
          <a:ext cx="1993265" cy="2006600"/>
        </a:xfrm>
        <a:prstGeom prst="rect">
          <a:avLst/>
        </a:prstGeom>
        <a:noFill/>
        <a:ln w="9525">
          <a:noFill/>
        </a:ln>
      </xdr:spPr>
    </xdr:pic>
  </etc:cellImage>
  <etc:cellImage>
    <xdr:pic>
      <xdr:nvPicPr>
        <xdr:cNvPr id="329" name="ID_EB1C0B5E5C96417A9B6D53C507442124" descr="白玉脆山药"/>
        <xdr:cNvPicPr>
          <a:picLocks noChangeAspect="1"/>
        </xdr:cNvPicPr>
      </xdr:nvPicPr>
      <xdr:blipFill>
        <a:blip r:embed="rId317"/>
        <a:stretch>
          <a:fillRect/>
        </a:stretch>
      </xdr:blipFill>
      <xdr:spPr>
        <a:xfrm>
          <a:off x="12365990" y="1119191310"/>
          <a:ext cx="2084705" cy="2066290"/>
        </a:xfrm>
        <a:prstGeom prst="rect">
          <a:avLst/>
        </a:prstGeom>
        <a:noFill/>
        <a:ln w="9525">
          <a:noFill/>
        </a:ln>
      </xdr:spPr>
    </xdr:pic>
  </etc:cellImage>
  <etc:cellImage>
    <xdr:pic>
      <xdr:nvPicPr>
        <xdr:cNvPr id="330" name="ID_1562D4D6D0EB42129CDCAFEC1ADD5617" descr="白砂糖 摄影图__生活素材_生活百科_摄影图库_昵图网"/>
        <xdr:cNvPicPr>
          <a:picLocks noChangeAspect="1"/>
        </xdr:cNvPicPr>
      </xdr:nvPicPr>
      <xdr:blipFill>
        <a:blip r:embed="rId318"/>
        <a:srcRect l="24265" t="26852" r="23601" b="17192"/>
        <a:stretch>
          <a:fillRect/>
        </a:stretch>
      </xdr:blipFill>
      <xdr:spPr>
        <a:xfrm>
          <a:off x="12355195" y="514671310"/>
          <a:ext cx="2106295" cy="2075180"/>
        </a:xfrm>
        <a:prstGeom prst="rect">
          <a:avLst/>
        </a:prstGeom>
        <a:noFill/>
        <a:ln w="9525">
          <a:noFill/>
        </a:ln>
      </xdr:spPr>
    </xdr:pic>
  </etc:cellImage>
  <etc:cellImage>
    <xdr:pic>
      <xdr:nvPicPr>
        <xdr:cNvPr id="331" name="ID_2C6587D846A84C95872CE9419B74A8C0"/>
        <xdr:cNvPicPr>
          <a:picLocks noChangeAspect="1"/>
        </xdr:cNvPicPr>
      </xdr:nvPicPr>
      <xdr:blipFill>
        <a:blip r:embed="rId319"/>
        <a:srcRect l="14539" t="10890" r="19063" b="13989"/>
        <a:stretch>
          <a:fillRect/>
        </a:stretch>
      </xdr:blipFill>
      <xdr:spPr>
        <a:xfrm>
          <a:off x="12374245" y="518989310"/>
          <a:ext cx="2068195" cy="2066290"/>
        </a:xfrm>
        <a:prstGeom prst="rect">
          <a:avLst/>
        </a:prstGeom>
        <a:noFill/>
        <a:ln w="9525">
          <a:noFill/>
        </a:ln>
      </xdr:spPr>
    </xdr:pic>
  </etc:cellImage>
  <etc:cellImage>
    <xdr:pic>
      <xdr:nvPicPr>
        <xdr:cNvPr id="332" name="ID_8E27055DCC694FF2A79FF9172795C9D2"/>
        <xdr:cNvPicPr>
          <a:picLocks noChangeAspect="1"/>
        </xdr:cNvPicPr>
      </xdr:nvPicPr>
      <xdr:blipFill>
        <a:blip r:embed="rId320"/>
        <a:stretch>
          <a:fillRect/>
        </a:stretch>
      </xdr:blipFill>
      <xdr:spPr>
        <a:xfrm>
          <a:off x="12418060" y="950831855"/>
          <a:ext cx="1980565" cy="1981835"/>
        </a:xfrm>
        <a:prstGeom prst="rect">
          <a:avLst/>
        </a:prstGeom>
        <a:noFill/>
        <a:ln w="9525">
          <a:noFill/>
        </a:ln>
      </xdr:spPr>
    </xdr:pic>
  </etc:cellImage>
  <etc:cellImage>
    <xdr:pic>
      <xdr:nvPicPr>
        <xdr:cNvPr id="333" name="ID_DDF7C4C5C198476DAEF0378CD9D96BF7" descr="tb_image_share_1761721637246.jpg"/>
        <xdr:cNvPicPr>
          <a:picLocks noChangeAspect="1"/>
        </xdr:cNvPicPr>
      </xdr:nvPicPr>
      <xdr:blipFill>
        <a:blip r:embed="rId321"/>
        <a:srcRect l="9349" t="11868" r="7672" b="37627"/>
        <a:stretch>
          <a:fillRect/>
        </a:stretch>
      </xdr:blipFill>
      <xdr:spPr>
        <a:xfrm>
          <a:off x="12363450" y="901132310"/>
          <a:ext cx="2033270" cy="2024380"/>
        </a:xfrm>
        <a:prstGeom prst="rect">
          <a:avLst/>
        </a:prstGeom>
        <a:noFill/>
        <a:ln w="9525">
          <a:noFill/>
        </a:ln>
      </xdr:spPr>
    </xdr:pic>
  </etc:cellImage>
  <etc:cellImage>
    <xdr:pic>
      <xdr:nvPicPr>
        <xdr:cNvPr id="334" name="ID_32D11AA2810B4B94973BA4FF52742057"/>
        <xdr:cNvPicPr>
          <a:picLocks noChangeAspect="1"/>
        </xdr:cNvPicPr>
      </xdr:nvPicPr>
      <xdr:blipFill>
        <a:blip r:embed="rId322"/>
        <a:stretch>
          <a:fillRect/>
        </a:stretch>
      </xdr:blipFill>
      <xdr:spPr>
        <a:xfrm>
          <a:off x="12655550" y="624881910"/>
          <a:ext cx="1505585" cy="1863725"/>
        </a:xfrm>
        <a:prstGeom prst="rect">
          <a:avLst/>
        </a:prstGeom>
        <a:noFill/>
        <a:ln w="9525">
          <a:noFill/>
        </a:ln>
      </xdr:spPr>
    </xdr:pic>
  </etc:cellImage>
  <etc:cellImage>
    <xdr:pic>
      <xdr:nvPicPr>
        <xdr:cNvPr id="335" name="ID_9772CF4C9AE04499B392EC4F3D6492B5"/>
        <xdr:cNvPicPr>
          <a:picLocks noChangeAspect="1"/>
        </xdr:cNvPicPr>
      </xdr:nvPicPr>
      <xdr:blipFill>
        <a:blip r:embed="rId323"/>
        <a:stretch>
          <a:fillRect/>
        </a:stretch>
      </xdr:blipFill>
      <xdr:spPr>
        <a:xfrm>
          <a:off x="12371705" y="730554800"/>
          <a:ext cx="2070735" cy="2099945"/>
        </a:xfrm>
        <a:prstGeom prst="rect">
          <a:avLst/>
        </a:prstGeom>
        <a:noFill/>
        <a:ln w="9525">
          <a:noFill/>
        </a:ln>
      </xdr:spPr>
    </xdr:pic>
  </etc:cellImage>
  <etc:cellImage>
    <xdr:pic>
      <xdr:nvPicPr>
        <xdr:cNvPr id="336" name="ID_00531B07083B4C37A6E92E37A8130046"/>
        <xdr:cNvPicPr>
          <a:picLocks noChangeAspect="1"/>
        </xdr:cNvPicPr>
      </xdr:nvPicPr>
      <xdr:blipFill>
        <a:blip r:embed="rId324"/>
        <a:stretch>
          <a:fillRect/>
        </a:stretch>
      </xdr:blipFill>
      <xdr:spPr>
        <a:xfrm>
          <a:off x="12442825" y="525466310"/>
          <a:ext cx="1931035" cy="2066290"/>
        </a:xfrm>
        <a:prstGeom prst="rect">
          <a:avLst/>
        </a:prstGeom>
        <a:noFill/>
        <a:ln w="9525">
          <a:noFill/>
        </a:ln>
      </xdr:spPr>
    </xdr:pic>
  </etc:cellImage>
  <etc:cellImage>
    <xdr:pic>
      <xdr:nvPicPr>
        <xdr:cNvPr id="337" name="ID_702CE3F2C9644B3DB1A0AC624D516EA5" descr="红豆"/>
        <xdr:cNvPicPr>
          <a:picLocks noChangeAspect="1"/>
        </xdr:cNvPicPr>
      </xdr:nvPicPr>
      <xdr:blipFill>
        <a:blip r:embed="rId325"/>
        <a:stretch>
          <a:fillRect/>
        </a:stretch>
      </xdr:blipFill>
      <xdr:spPr>
        <a:xfrm>
          <a:off x="12376150" y="575115055"/>
          <a:ext cx="2064385" cy="2091690"/>
        </a:xfrm>
        <a:prstGeom prst="rect">
          <a:avLst/>
        </a:prstGeom>
        <a:noFill/>
        <a:ln w="9525">
          <a:noFill/>
        </a:ln>
      </xdr:spPr>
    </xdr:pic>
  </etc:cellImage>
  <etc:cellImage>
    <xdr:pic>
      <xdr:nvPicPr>
        <xdr:cNvPr id="338" name="ID_EDEC90F91BB14863AEA194259E243A99" descr="IMG_20251029_155112"/>
        <xdr:cNvPicPr>
          <a:picLocks noChangeAspect="1"/>
        </xdr:cNvPicPr>
      </xdr:nvPicPr>
      <xdr:blipFill>
        <a:blip r:embed="rId326"/>
        <a:srcRect l="4866" t="6277" r="6326" b="8714"/>
        <a:stretch>
          <a:fillRect/>
        </a:stretch>
      </xdr:blipFill>
      <xdr:spPr>
        <a:xfrm>
          <a:off x="12478385" y="676571545"/>
          <a:ext cx="1859915" cy="2124710"/>
        </a:xfrm>
        <a:prstGeom prst="rect">
          <a:avLst/>
        </a:prstGeom>
        <a:noFill/>
        <a:ln w="9525">
          <a:noFill/>
        </a:ln>
      </xdr:spPr>
    </xdr:pic>
  </etc:cellImage>
  <etc:cellImage>
    <xdr:pic>
      <xdr:nvPicPr>
        <xdr:cNvPr id="339" name="ID_A78ED362086149178A6DEA899DD01287"/>
        <xdr:cNvPicPr>
          <a:picLocks noChangeAspect="1"/>
        </xdr:cNvPicPr>
      </xdr:nvPicPr>
      <xdr:blipFill>
        <a:blip r:embed="rId327"/>
        <a:stretch>
          <a:fillRect/>
        </a:stretch>
      </xdr:blipFill>
      <xdr:spPr>
        <a:xfrm>
          <a:off x="12778105" y="531918545"/>
          <a:ext cx="1260475" cy="2124710"/>
        </a:xfrm>
        <a:prstGeom prst="rect">
          <a:avLst/>
        </a:prstGeom>
        <a:noFill/>
        <a:ln w="9525">
          <a:noFill/>
        </a:ln>
      </xdr:spPr>
    </xdr:pic>
  </etc:cellImage>
  <etc:cellImage>
    <xdr:pic>
      <xdr:nvPicPr>
        <xdr:cNvPr id="340" name="ID_87EF98E01D6F424B8EECDBDE1870CC5E"/>
        <xdr:cNvPicPr>
          <a:picLocks noChangeAspect="1"/>
        </xdr:cNvPicPr>
      </xdr:nvPicPr>
      <xdr:blipFill>
        <a:blip r:embed="rId328"/>
        <a:stretch>
          <a:fillRect/>
        </a:stretch>
      </xdr:blipFill>
      <xdr:spPr>
        <a:xfrm>
          <a:off x="12355195" y="540562800"/>
          <a:ext cx="2106295" cy="2108200"/>
        </a:xfrm>
        <a:prstGeom prst="rect">
          <a:avLst/>
        </a:prstGeom>
        <a:noFill/>
        <a:ln w="9525">
          <a:noFill/>
        </a:ln>
      </xdr:spPr>
    </xdr:pic>
  </etc:cellImage>
  <etc:cellImage>
    <xdr:pic>
      <xdr:nvPicPr>
        <xdr:cNvPr id="341" name="ID_B7DFCC2F580C41F4852BA4B2CD924923" descr="查看源图像"/>
        <xdr:cNvPicPr>
          <a:picLocks noChangeAspect="1"/>
        </xdr:cNvPicPr>
      </xdr:nvPicPr>
      <xdr:blipFill>
        <a:blip r:embed="rId329"/>
        <a:stretch>
          <a:fillRect/>
        </a:stretch>
      </xdr:blipFill>
      <xdr:spPr>
        <a:xfrm>
          <a:off x="12359640" y="754337455"/>
          <a:ext cx="2097405" cy="2032635"/>
        </a:xfrm>
        <a:prstGeom prst="rect">
          <a:avLst/>
        </a:prstGeom>
        <a:noFill/>
        <a:ln w="9525">
          <a:noFill/>
        </a:ln>
      </xdr:spPr>
    </xdr:pic>
  </etc:cellImage>
  <etc:cellImage>
    <xdr:pic>
      <xdr:nvPicPr>
        <xdr:cNvPr id="342" name="ID_42E2689A97C141B7985B5AAA41E8C768"/>
        <xdr:cNvPicPr>
          <a:picLocks noChangeAspect="1"/>
        </xdr:cNvPicPr>
      </xdr:nvPicPr>
      <xdr:blipFill>
        <a:blip r:embed="rId330"/>
        <a:srcRect l="7962" t="10117" r="10800" b="16431"/>
        <a:stretch>
          <a:fillRect/>
        </a:stretch>
      </xdr:blipFill>
      <xdr:spPr>
        <a:xfrm>
          <a:off x="12367895" y="547039800"/>
          <a:ext cx="2080895" cy="2099945"/>
        </a:xfrm>
        <a:prstGeom prst="rect">
          <a:avLst/>
        </a:prstGeom>
        <a:noFill/>
        <a:ln w="9525">
          <a:noFill/>
        </a:ln>
      </xdr:spPr>
    </xdr:pic>
  </etc:cellImage>
  <etc:cellImage>
    <xdr:pic>
      <xdr:nvPicPr>
        <xdr:cNvPr id="343" name="ID_AB88AA3040CD481F927868D56B39ABB9"/>
        <xdr:cNvPicPr>
          <a:picLocks noChangeAspect="1"/>
        </xdr:cNvPicPr>
      </xdr:nvPicPr>
      <xdr:blipFill>
        <a:blip r:embed="rId331"/>
        <a:stretch>
          <a:fillRect/>
        </a:stretch>
      </xdr:blipFill>
      <xdr:spPr>
        <a:xfrm>
          <a:off x="12363450" y="700328800"/>
          <a:ext cx="2089150" cy="2099945"/>
        </a:xfrm>
        <a:prstGeom prst="rect">
          <a:avLst/>
        </a:prstGeom>
        <a:noFill/>
        <a:ln w="9525">
          <a:noFill/>
        </a:ln>
      </xdr:spPr>
    </xdr:pic>
  </etc:cellImage>
  <etc:cellImage>
    <xdr:pic>
      <xdr:nvPicPr>
        <xdr:cNvPr id="344" name="ID_06170B4F58FC461B89838758F45BC732"/>
        <xdr:cNvPicPr>
          <a:picLocks noChangeAspect="1"/>
        </xdr:cNvPicPr>
      </xdr:nvPicPr>
      <xdr:blipFill>
        <a:blip r:embed="rId332"/>
        <a:stretch>
          <a:fillRect/>
        </a:stretch>
      </xdr:blipFill>
      <xdr:spPr>
        <a:xfrm>
          <a:off x="12418060" y="1069576855"/>
          <a:ext cx="1978660" cy="1981835"/>
        </a:xfrm>
        <a:prstGeom prst="rect">
          <a:avLst/>
        </a:prstGeom>
        <a:noFill/>
        <a:ln w="9525">
          <a:noFill/>
        </a:ln>
      </xdr:spPr>
    </xdr:pic>
  </etc:cellImage>
  <etc:cellImage>
    <xdr:pic>
      <xdr:nvPicPr>
        <xdr:cNvPr id="345" name="ID_D79397A06F28413083F277E15EA4A2E2"/>
        <xdr:cNvPicPr>
          <a:picLocks noChangeAspect="1"/>
        </xdr:cNvPicPr>
      </xdr:nvPicPr>
      <xdr:blipFill>
        <a:blip r:embed="rId333"/>
        <a:stretch>
          <a:fillRect/>
        </a:stretch>
      </xdr:blipFill>
      <xdr:spPr>
        <a:xfrm>
          <a:off x="12359640" y="549198800"/>
          <a:ext cx="2095500" cy="2099945"/>
        </a:xfrm>
        <a:prstGeom prst="rect">
          <a:avLst/>
        </a:prstGeom>
        <a:noFill/>
        <a:ln w="9525">
          <a:noFill/>
        </a:ln>
      </xdr:spPr>
    </xdr:pic>
  </etc:cellImage>
  <etc:cellImage>
    <xdr:pic>
      <xdr:nvPicPr>
        <xdr:cNvPr id="346" name="ID_E39F2F5F0EB04E2EB88B3EADDEFC1D56" descr="红萝卜"/>
        <xdr:cNvPicPr>
          <a:picLocks noChangeAspect="1"/>
        </xdr:cNvPicPr>
      </xdr:nvPicPr>
      <xdr:blipFill>
        <a:blip r:embed="rId334"/>
        <a:srcRect l="25446" t="14699" r="16656" b="13809"/>
        <a:stretch>
          <a:fillRect/>
        </a:stretch>
      </xdr:blipFill>
      <xdr:spPr>
        <a:xfrm>
          <a:off x="12367895" y="1019886200"/>
          <a:ext cx="2080895" cy="2049145"/>
        </a:xfrm>
        <a:prstGeom prst="rect">
          <a:avLst/>
        </a:prstGeom>
        <a:noFill/>
        <a:ln w="9525">
          <a:noFill/>
        </a:ln>
      </xdr:spPr>
    </xdr:pic>
  </etc:cellImage>
  <etc:cellImage>
    <xdr:pic>
      <xdr:nvPicPr>
        <xdr:cNvPr id="347" name="ID_CF9A262DFA1D4BD88B4B60C567B77D02" descr="西红柿"/>
        <xdr:cNvPicPr>
          <a:picLocks noChangeAspect="1"/>
        </xdr:cNvPicPr>
      </xdr:nvPicPr>
      <xdr:blipFill>
        <a:blip r:embed="rId335"/>
        <a:srcRect t="7133" b="22559"/>
        <a:stretch>
          <a:fillRect/>
        </a:stretch>
      </xdr:blipFill>
      <xdr:spPr>
        <a:xfrm>
          <a:off x="12371705" y="1078179200"/>
          <a:ext cx="2070735" cy="2049145"/>
        </a:xfrm>
        <a:prstGeom prst="rect">
          <a:avLst/>
        </a:prstGeom>
        <a:noFill/>
        <a:ln w="9525">
          <a:noFill/>
        </a:ln>
      </xdr:spPr>
    </xdr:pic>
  </etc:cellImage>
  <etc:cellImage>
    <xdr:pic>
      <xdr:nvPicPr>
        <xdr:cNvPr id="348" name="ID_522B4E70E4BA495BA4044641FA62166C"/>
        <xdr:cNvPicPr>
          <a:picLocks noChangeAspect="1"/>
        </xdr:cNvPicPr>
      </xdr:nvPicPr>
      <xdr:blipFill>
        <a:blip r:embed="rId336"/>
        <a:srcRect t="8481" b="26768"/>
        <a:stretch>
          <a:fillRect/>
        </a:stretch>
      </xdr:blipFill>
      <xdr:spPr>
        <a:xfrm>
          <a:off x="12363450" y="553542200"/>
          <a:ext cx="2089150" cy="2057400"/>
        </a:xfrm>
        <a:prstGeom prst="rect">
          <a:avLst/>
        </a:prstGeom>
        <a:noFill/>
        <a:ln w="9525">
          <a:noFill/>
        </a:ln>
      </xdr:spPr>
    </xdr:pic>
  </etc:cellImage>
  <etc:cellImage>
    <xdr:pic>
      <xdr:nvPicPr>
        <xdr:cNvPr id="349" name="ID_D02ADB512D3B4256A92F4C8A5D69298C"/>
        <xdr:cNvPicPr>
          <a:picLocks noChangeAspect="1"/>
        </xdr:cNvPicPr>
      </xdr:nvPicPr>
      <xdr:blipFill>
        <a:blip r:embed="rId337"/>
        <a:stretch>
          <a:fillRect/>
        </a:stretch>
      </xdr:blipFill>
      <xdr:spPr>
        <a:xfrm>
          <a:off x="12403455" y="866613710"/>
          <a:ext cx="2009775" cy="2024380"/>
        </a:xfrm>
        <a:prstGeom prst="rect">
          <a:avLst/>
        </a:prstGeom>
        <a:noFill/>
        <a:ln w="9525">
          <a:noFill/>
        </a:ln>
      </xdr:spPr>
    </xdr:pic>
  </etc:cellImage>
  <etc:cellImage>
    <xdr:pic>
      <xdr:nvPicPr>
        <xdr:cNvPr id="350" name="ID_28EB118CF7A143B5AB4A26639CF699E4" descr="贝贝南瓜"/>
        <xdr:cNvPicPr>
          <a:picLocks noChangeAspect="1"/>
        </xdr:cNvPicPr>
      </xdr:nvPicPr>
      <xdr:blipFill>
        <a:blip r:embed="rId338"/>
        <a:stretch>
          <a:fillRect/>
        </a:stretch>
      </xdr:blipFill>
      <xdr:spPr>
        <a:xfrm>
          <a:off x="12359640" y="1028505055"/>
          <a:ext cx="2095500" cy="2091690"/>
        </a:xfrm>
        <a:prstGeom prst="rect">
          <a:avLst/>
        </a:prstGeom>
        <a:noFill/>
        <a:ln w="9525">
          <a:noFill/>
        </a:ln>
      </xdr:spPr>
    </xdr:pic>
  </etc:cellImage>
  <etc:cellImage>
    <xdr:pic>
      <xdr:nvPicPr>
        <xdr:cNvPr id="351" name="ID_6EB8FCB62EDA42AC8E8B96E0EE9FB687" descr=" "/>
        <xdr:cNvPicPr>
          <a:picLocks noChangeAspect="1"/>
        </xdr:cNvPicPr>
      </xdr:nvPicPr>
      <xdr:blipFill>
        <a:blip r:embed="rId339"/>
        <a:stretch>
          <a:fillRect/>
        </a:stretch>
      </xdr:blipFill>
      <xdr:spPr>
        <a:xfrm>
          <a:off x="12613640" y="557826545"/>
          <a:ext cx="1589405" cy="2124710"/>
        </a:xfrm>
        <a:prstGeom prst="rect">
          <a:avLst/>
        </a:prstGeom>
        <a:noFill/>
        <a:ln w="9525">
          <a:noFill/>
        </a:ln>
      </xdr:spPr>
    </xdr:pic>
  </etc:cellImage>
  <etc:cellImage>
    <xdr:pic>
      <xdr:nvPicPr>
        <xdr:cNvPr id="352" name="ID_70708549AC9C4055B929B3F7D2EF9AC2"/>
        <xdr:cNvPicPr>
          <a:picLocks noChangeAspect="1"/>
        </xdr:cNvPicPr>
      </xdr:nvPicPr>
      <xdr:blipFill>
        <a:blip r:embed="rId340"/>
        <a:srcRect t="26686" b="13948"/>
        <a:stretch>
          <a:fillRect/>
        </a:stretch>
      </xdr:blipFill>
      <xdr:spPr>
        <a:xfrm>
          <a:off x="12386310" y="661500455"/>
          <a:ext cx="2043430" cy="2032635"/>
        </a:xfrm>
        <a:prstGeom prst="rect">
          <a:avLst/>
        </a:prstGeom>
        <a:noFill/>
        <a:ln w="9525">
          <a:noFill/>
        </a:ln>
      </xdr:spPr>
    </xdr:pic>
  </etc:cellImage>
  <etc:cellImage>
    <xdr:pic>
      <xdr:nvPicPr>
        <xdr:cNvPr id="353" name="ID_AF9B4438CE9D4AC09A136CA4D75A6375"/>
        <xdr:cNvPicPr>
          <a:picLocks noChangeAspect="1"/>
        </xdr:cNvPicPr>
      </xdr:nvPicPr>
      <xdr:blipFill>
        <a:blip r:embed="rId341"/>
        <a:stretch>
          <a:fillRect/>
        </a:stretch>
      </xdr:blipFill>
      <xdr:spPr>
        <a:xfrm>
          <a:off x="12355195" y="767257800"/>
          <a:ext cx="2106295" cy="2108200"/>
        </a:xfrm>
        <a:prstGeom prst="rect">
          <a:avLst/>
        </a:prstGeom>
        <a:noFill/>
        <a:ln w="9525">
          <a:noFill/>
        </a:ln>
      </xdr:spPr>
    </xdr:pic>
  </etc:cellImage>
  <etc:cellImage>
    <xdr:pic>
      <xdr:nvPicPr>
        <xdr:cNvPr id="354" name="ID_52C68A8A22B3444C857DE3B8A8636C71" descr="黄豆"/>
        <xdr:cNvPicPr>
          <a:picLocks noChangeAspect="1"/>
        </xdr:cNvPicPr>
      </xdr:nvPicPr>
      <xdr:blipFill>
        <a:blip r:embed="rId342"/>
        <a:stretch>
          <a:fillRect/>
        </a:stretch>
      </xdr:blipFill>
      <xdr:spPr>
        <a:xfrm>
          <a:off x="12367895" y="560027455"/>
          <a:ext cx="2078990" cy="2040890"/>
        </a:xfrm>
        <a:prstGeom prst="rect">
          <a:avLst/>
        </a:prstGeom>
        <a:noFill/>
        <a:ln w="9525">
          <a:noFill/>
        </a:ln>
      </xdr:spPr>
    </xdr:pic>
  </etc:cellImage>
  <etc:cellImage>
    <xdr:pic>
      <xdr:nvPicPr>
        <xdr:cNvPr id="355" name="ID_D3FF8DC66CD047B6B54CE44ECD899262"/>
        <xdr:cNvPicPr>
          <a:picLocks noChangeAspect="1"/>
        </xdr:cNvPicPr>
      </xdr:nvPicPr>
      <xdr:blipFill>
        <a:blip r:embed="rId343"/>
        <a:srcRect l="8148" t="34254" b="20575"/>
        <a:stretch>
          <a:fillRect/>
        </a:stretch>
      </xdr:blipFill>
      <xdr:spPr>
        <a:xfrm>
          <a:off x="12374245" y="607651820"/>
          <a:ext cx="2068195" cy="1779905"/>
        </a:xfrm>
        <a:prstGeom prst="rect">
          <a:avLst/>
        </a:prstGeom>
        <a:noFill/>
        <a:ln w="9525">
          <a:noFill/>
        </a:ln>
      </xdr:spPr>
    </xdr:pic>
  </etc:cellImage>
  <etc:cellImage>
    <xdr:pic>
      <xdr:nvPicPr>
        <xdr:cNvPr id="356" name="ID_820A05A41C024CE7B9DA991A079CB8DE"/>
        <xdr:cNvPicPr>
          <a:picLocks noChangeAspect="1"/>
        </xdr:cNvPicPr>
      </xdr:nvPicPr>
      <xdr:blipFill>
        <a:blip r:embed="rId344"/>
        <a:stretch>
          <a:fillRect/>
        </a:stretch>
      </xdr:blipFill>
      <xdr:spPr>
        <a:xfrm>
          <a:off x="12609195" y="715433545"/>
          <a:ext cx="1597660" cy="2124710"/>
        </a:xfrm>
        <a:prstGeom prst="rect">
          <a:avLst/>
        </a:prstGeom>
        <a:noFill/>
        <a:ln w="9525">
          <a:noFill/>
        </a:ln>
      </xdr:spPr>
    </xdr:pic>
  </etc:cellImage>
  <etc:cellImage>
    <xdr:pic>
      <xdr:nvPicPr>
        <xdr:cNvPr id="357" name="ID_A6B205125CFF4CAD811FFD3377D90276"/>
        <xdr:cNvPicPr>
          <a:picLocks noChangeAspect="1"/>
        </xdr:cNvPicPr>
      </xdr:nvPicPr>
      <xdr:blipFill>
        <a:blip r:embed="rId345"/>
        <a:stretch>
          <a:fillRect/>
        </a:stretch>
      </xdr:blipFill>
      <xdr:spPr>
        <a:xfrm>
          <a:off x="12400915" y="609692710"/>
          <a:ext cx="2014220" cy="2015490"/>
        </a:xfrm>
        <a:prstGeom prst="rect">
          <a:avLst/>
        </a:prstGeom>
        <a:noFill/>
        <a:ln w="9525">
          <a:noFill/>
        </a:ln>
      </xdr:spPr>
    </xdr:pic>
  </etc:cellImage>
  <etc:cellImage>
    <xdr:pic>
      <xdr:nvPicPr>
        <xdr:cNvPr id="358" name="ID_9E345A6E469043A8BA774889744D0435" descr=" "/>
        <xdr:cNvPicPr>
          <a:picLocks noChangeAspect="1"/>
        </xdr:cNvPicPr>
      </xdr:nvPicPr>
      <xdr:blipFill>
        <a:blip r:embed="rId346"/>
        <a:stretch>
          <a:fillRect/>
        </a:stretch>
      </xdr:blipFill>
      <xdr:spPr>
        <a:xfrm>
          <a:off x="12811760" y="562144545"/>
          <a:ext cx="1193165" cy="2124710"/>
        </a:xfrm>
        <a:prstGeom prst="rect">
          <a:avLst/>
        </a:prstGeom>
        <a:noFill/>
        <a:ln w="9525">
          <a:noFill/>
        </a:ln>
      </xdr:spPr>
    </xdr:pic>
  </etc:cellImage>
  <etc:cellImage>
    <xdr:pic>
      <xdr:nvPicPr>
        <xdr:cNvPr id="359" name="ID_094523E5485948F5A218F5C8A4EDD7F1" descr="绿豆"/>
        <xdr:cNvPicPr>
          <a:picLocks noChangeAspect="1"/>
        </xdr:cNvPicPr>
      </xdr:nvPicPr>
      <xdr:blipFill>
        <a:blip r:embed="rId347"/>
        <a:stretch>
          <a:fillRect/>
        </a:stretch>
      </xdr:blipFill>
      <xdr:spPr>
        <a:xfrm>
          <a:off x="12384405" y="564337200"/>
          <a:ext cx="2047875" cy="2057400"/>
        </a:xfrm>
        <a:prstGeom prst="rect">
          <a:avLst/>
        </a:prstGeom>
        <a:noFill/>
        <a:ln w="9525">
          <a:noFill/>
        </a:ln>
      </xdr:spPr>
    </xdr:pic>
  </etc:cellImage>
  <etc:cellImage>
    <xdr:pic>
      <xdr:nvPicPr>
        <xdr:cNvPr id="360" name="ID_10934663F6F9439A8B62FF8EA5430AB6" descr="大白豆"/>
        <xdr:cNvPicPr>
          <a:picLocks noChangeAspect="1"/>
        </xdr:cNvPicPr>
      </xdr:nvPicPr>
      <xdr:blipFill>
        <a:blip r:embed="rId348"/>
        <a:stretch>
          <a:fillRect/>
        </a:stretch>
      </xdr:blipFill>
      <xdr:spPr>
        <a:xfrm>
          <a:off x="12374245" y="566504455"/>
          <a:ext cx="2066290" cy="2040890"/>
        </a:xfrm>
        <a:prstGeom prst="rect">
          <a:avLst/>
        </a:prstGeom>
        <a:noFill/>
        <a:ln w="9525">
          <a:noFill/>
        </a:ln>
      </xdr:spPr>
    </xdr:pic>
  </etc:cellImage>
  <etc:cellImage>
    <xdr:pic>
      <xdr:nvPicPr>
        <xdr:cNvPr id="361" name="ID_B5AB9E82EEC542EB806E38233DE4BB66"/>
        <xdr:cNvPicPr>
          <a:picLocks noChangeAspect="1"/>
        </xdr:cNvPicPr>
      </xdr:nvPicPr>
      <xdr:blipFill>
        <a:blip r:embed="rId349"/>
        <a:stretch>
          <a:fillRect/>
        </a:stretch>
      </xdr:blipFill>
      <xdr:spPr>
        <a:xfrm>
          <a:off x="12359640" y="568629800"/>
          <a:ext cx="2095500" cy="2099945"/>
        </a:xfrm>
        <a:prstGeom prst="rect">
          <a:avLst/>
        </a:prstGeom>
        <a:noFill/>
        <a:ln w="9525">
          <a:noFill/>
        </a:ln>
      </xdr:spPr>
    </xdr:pic>
  </etc:cellImage>
  <etc:cellImage>
    <xdr:pic>
      <xdr:nvPicPr>
        <xdr:cNvPr id="362" name="ID_76B80182A7E741A18E52AD0130B0E866"/>
        <xdr:cNvPicPr>
          <a:picLocks noChangeAspect="1"/>
        </xdr:cNvPicPr>
      </xdr:nvPicPr>
      <xdr:blipFill>
        <a:blip r:embed="rId350"/>
        <a:srcRect t="44765" b="8849"/>
        <a:stretch>
          <a:fillRect/>
        </a:stretch>
      </xdr:blipFill>
      <xdr:spPr>
        <a:xfrm>
          <a:off x="12371705" y="577291200"/>
          <a:ext cx="2072640" cy="2057400"/>
        </a:xfrm>
        <a:prstGeom prst="rect">
          <a:avLst/>
        </a:prstGeom>
        <a:noFill/>
        <a:ln w="9525">
          <a:noFill/>
        </a:ln>
      </xdr:spPr>
    </xdr:pic>
  </etc:cellImage>
  <etc:cellImage>
    <xdr:pic>
      <xdr:nvPicPr>
        <xdr:cNvPr id="363" name="ID_3441918695F54756BF7E76A555A5AC18"/>
        <xdr:cNvPicPr>
          <a:picLocks noChangeAspect="1"/>
        </xdr:cNvPicPr>
      </xdr:nvPicPr>
      <xdr:blipFill>
        <a:blip r:embed="rId351"/>
        <a:stretch>
          <a:fillRect/>
        </a:stretch>
      </xdr:blipFill>
      <xdr:spPr>
        <a:xfrm>
          <a:off x="12367895" y="579433055"/>
          <a:ext cx="2078990" cy="2083435"/>
        </a:xfrm>
        <a:prstGeom prst="rect">
          <a:avLst/>
        </a:prstGeom>
        <a:noFill/>
        <a:ln w="9525">
          <a:noFill/>
        </a:ln>
      </xdr:spPr>
    </xdr:pic>
  </etc:cellImage>
  <etc:cellImage>
    <xdr:pic>
      <xdr:nvPicPr>
        <xdr:cNvPr id="364" name="ID_1EAB610FE62A43A48A8D10ED632D2158" descr="干豆皮"/>
        <xdr:cNvPicPr>
          <a:picLocks noChangeAspect="1"/>
        </xdr:cNvPicPr>
      </xdr:nvPicPr>
      <xdr:blipFill>
        <a:blip r:embed="rId352"/>
        <a:stretch>
          <a:fillRect/>
        </a:stretch>
      </xdr:blipFill>
      <xdr:spPr>
        <a:xfrm>
          <a:off x="12384405" y="581625710"/>
          <a:ext cx="2047875" cy="2024380"/>
        </a:xfrm>
        <a:prstGeom prst="rect">
          <a:avLst/>
        </a:prstGeom>
        <a:noFill/>
        <a:ln w="9525">
          <a:noFill/>
        </a:ln>
      </xdr:spPr>
    </xdr:pic>
  </etc:cellImage>
  <etc:cellImage>
    <xdr:pic>
      <xdr:nvPicPr>
        <xdr:cNvPr id="365" name="ID_AFD264F7A1B0466AA8BFFA95F56565F1"/>
        <xdr:cNvPicPr>
          <a:picLocks noChangeAspect="1"/>
        </xdr:cNvPicPr>
      </xdr:nvPicPr>
      <xdr:blipFill>
        <a:blip r:embed="rId353"/>
        <a:stretch>
          <a:fillRect/>
        </a:stretch>
      </xdr:blipFill>
      <xdr:spPr>
        <a:xfrm>
          <a:off x="12367895" y="685224055"/>
          <a:ext cx="2080895" cy="2083435"/>
        </a:xfrm>
        <a:prstGeom prst="rect">
          <a:avLst/>
        </a:prstGeom>
        <a:noFill/>
        <a:ln w="9525">
          <a:noFill/>
        </a:ln>
      </xdr:spPr>
    </xdr:pic>
  </etc:cellImage>
  <etc:cellImage>
    <xdr:pic>
      <xdr:nvPicPr>
        <xdr:cNvPr id="366" name="ID_3C55896B86CF45ED8E8D3B9A1449ADB2"/>
        <xdr:cNvPicPr>
          <a:picLocks noChangeAspect="1"/>
        </xdr:cNvPicPr>
      </xdr:nvPicPr>
      <xdr:blipFill>
        <a:blip r:embed="rId354"/>
        <a:stretch>
          <a:fillRect/>
        </a:stretch>
      </xdr:blipFill>
      <xdr:spPr>
        <a:xfrm>
          <a:off x="12388850" y="583784710"/>
          <a:ext cx="2037080" cy="2015490"/>
        </a:xfrm>
        <a:prstGeom prst="rect">
          <a:avLst/>
        </a:prstGeom>
        <a:noFill/>
        <a:ln w="9525">
          <a:noFill/>
        </a:ln>
      </xdr:spPr>
    </xdr:pic>
  </etc:cellImage>
  <etc:cellImage>
    <xdr:pic>
      <xdr:nvPicPr>
        <xdr:cNvPr id="367" name="ID_472D648493F4489D92DDE0DA1E31129A" descr="Screenshot_20250926_142619_com.cqdcg.ykbapp"/>
        <xdr:cNvPicPr>
          <a:picLocks noChangeAspect="1"/>
        </xdr:cNvPicPr>
      </xdr:nvPicPr>
      <xdr:blipFill>
        <a:blip r:embed="rId355"/>
        <a:srcRect t="20816" b="39143"/>
        <a:stretch>
          <a:fillRect/>
        </a:stretch>
      </xdr:blipFill>
      <xdr:spPr>
        <a:xfrm>
          <a:off x="12426315" y="687425600"/>
          <a:ext cx="1964055" cy="2006600"/>
        </a:xfrm>
        <a:prstGeom prst="rect">
          <a:avLst/>
        </a:prstGeom>
        <a:noFill/>
        <a:ln w="9525">
          <a:noFill/>
        </a:ln>
      </xdr:spPr>
    </xdr:pic>
  </etc:cellImage>
  <etc:cellImage>
    <xdr:pic>
      <xdr:nvPicPr>
        <xdr:cNvPr id="368" name="ID_0491CF25ABBB47F2BD55EF7B48DE2DBC" descr="干海带"/>
        <xdr:cNvPicPr>
          <a:picLocks noChangeAspect="1"/>
        </xdr:cNvPicPr>
      </xdr:nvPicPr>
      <xdr:blipFill>
        <a:blip r:embed="rId356"/>
        <a:srcRect l="6197" r="18712"/>
        <a:stretch>
          <a:fillRect/>
        </a:stretch>
      </xdr:blipFill>
      <xdr:spPr>
        <a:xfrm>
          <a:off x="12386310" y="633408055"/>
          <a:ext cx="2043430" cy="2091690"/>
        </a:xfrm>
        <a:prstGeom prst="rect">
          <a:avLst/>
        </a:prstGeom>
        <a:noFill/>
        <a:ln w="9525">
          <a:noFill/>
        </a:ln>
      </xdr:spPr>
    </xdr:pic>
  </etc:cellImage>
  <etc:cellImage>
    <xdr:pic>
      <xdr:nvPicPr>
        <xdr:cNvPr id="369" name="ID_45CFE90709974CA186B24E60D2F879AB"/>
        <xdr:cNvPicPr>
          <a:picLocks noChangeAspect="1"/>
        </xdr:cNvPicPr>
      </xdr:nvPicPr>
      <xdr:blipFill>
        <a:blip r:embed="rId357"/>
        <a:stretch>
          <a:fillRect/>
        </a:stretch>
      </xdr:blipFill>
      <xdr:spPr>
        <a:xfrm>
          <a:off x="12365990" y="637726055"/>
          <a:ext cx="2084705" cy="2083435"/>
        </a:xfrm>
        <a:prstGeom prst="rect">
          <a:avLst/>
        </a:prstGeom>
        <a:noFill/>
        <a:ln w="9525">
          <a:noFill/>
        </a:ln>
      </xdr:spPr>
    </xdr:pic>
  </etc:cellImage>
  <etc:cellImage>
    <xdr:pic>
      <xdr:nvPicPr>
        <xdr:cNvPr id="370" name="ID_7EEC8D30735349698B6FFAA72D7E4200"/>
        <xdr:cNvPicPr>
          <a:picLocks noChangeAspect="1"/>
        </xdr:cNvPicPr>
      </xdr:nvPicPr>
      <xdr:blipFill>
        <a:blip r:embed="rId358"/>
        <a:stretch>
          <a:fillRect/>
        </a:stretch>
      </xdr:blipFill>
      <xdr:spPr>
        <a:xfrm>
          <a:off x="12386310" y="588077310"/>
          <a:ext cx="2041525" cy="2075180"/>
        </a:xfrm>
        <a:prstGeom prst="rect">
          <a:avLst/>
        </a:prstGeom>
        <a:noFill/>
        <a:ln w="9525">
          <a:noFill/>
        </a:ln>
      </xdr:spPr>
    </xdr:pic>
  </etc:cellImage>
  <etc:cellImage>
    <xdr:pic>
      <xdr:nvPicPr>
        <xdr:cNvPr id="371" name="ID_666B74C051294FCF9237959041FD76D1"/>
        <xdr:cNvPicPr>
          <a:picLocks noChangeAspect="1"/>
        </xdr:cNvPicPr>
      </xdr:nvPicPr>
      <xdr:blipFill>
        <a:blip r:embed="rId359"/>
        <a:stretch>
          <a:fillRect/>
        </a:stretch>
      </xdr:blipFill>
      <xdr:spPr>
        <a:xfrm>
          <a:off x="12592685" y="592429600"/>
          <a:ext cx="1631315" cy="1998345"/>
        </a:xfrm>
        <a:prstGeom prst="rect">
          <a:avLst/>
        </a:prstGeom>
        <a:noFill/>
        <a:ln w="9525">
          <a:noFill/>
        </a:ln>
      </xdr:spPr>
    </xdr:pic>
  </etc:cellImage>
  <etc:cellImage>
    <xdr:pic>
      <xdr:nvPicPr>
        <xdr:cNvPr id="372" name="ID_30ED3D76913A491399461AF25036F53B"/>
        <xdr:cNvPicPr>
          <a:picLocks noChangeAspect="1"/>
        </xdr:cNvPicPr>
      </xdr:nvPicPr>
      <xdr:blipFill>
        <a:blip r:embed="rId360"/>
        <a:stretch>
          <a:fillRect/>
        </a:stretch>
      </xdr:blipFill>
      <xdr:spPr>
        <a:xfrm>
          <a:off x="12484735" y="1037259165"/>
          <a:ext cx="1849755" cy="1847215"/>
        </a:xfrm>
        <a:prstGeom prst="rect">
          <a:avLst/>
        </a:prstGeom>
        <a:noFill/>
        <a:ln w="9525">
          <a:noFill/>
        </a:ln>
      </xdr:spPr>
    </xdr:pic>
  </etc:cellImage>
  <etc:cellImage>
    <xdr:pic>
      <xdr:nvPicPr>
        <xdr:cNvPr id="374" name="ID_B27B0BC787FA40119C77580B435C5D37" descr="t04685281e9d13901a4"/>
        <xdr:cNvPicPr>
          <a:picLocks noChangeAspect="1"/>
        </xdr:cNvPicPr>
      </xdr:nvPicPr>
      <xdr:blipFill>
        <a:blip r:embed="rId361"/>
        <a:stretch>
          <a:fillRect/>
        </a:stretch>
      </xdr:blipFill>
      <xdr:spPr>
        <a:xfrm>
          <a:off x="12613640" y="598847545"/>
          <a:ext cx="1587500" cy="2124710"/>
        </a:xfrm>
        <a:prstGeom prst="rect">
          <a:avLst/>
        </a:prstGeom>
        <a:noFill/>
        <a:ln w="9525">
          <a:noFill/>
        </a:ln>
      </xdr:spPr>
    </xdr:pic>
  </etc:cellImage>
  <etc:cellImage>
    <xdr:pic>
      <xdr:nvPicPr>
        <xdr:cNvPr id="375" name="ID_03D136C37EF0451AABC0254668848C78"/>
        <xdr:cNvPicPr>
          <a:picLocks noChangeAspect="1"/>
        </xdr:cNvPicPr>
      </xdr:nvPicPr>
      <xdr:blipFill>
        <a:blip r:embed="rId362"/>
        <a:srcRect t="11111" b="20940"/>
        <a:stretch>
          <a:fillRect/>
        </a:stretch>
      </xdr:blipFill>
      <xdr:spPr>
        <a:xfrm>
          <a:off x="12403455" y="601040200"/>
          <a:ext cx="2009775" cy="2057400"/>
        </a:xfrm>
        <a:prstGeom prst="rect">
          <a:avLst/>
        </a:prstGeom>
        <a:noFill/>
        <a:ln w="9525">
          <a:noFill/>
        </a:ln>
      </xdr:spPr>
    </xdr:pic>
  </etc:cellImage>
  <etc:cellImage>
    <xdr:pic>
      <xdr:nvPicPr>
        <xdr:cNvPr id="376" name="ID_0539780EAAC2487BAA65CE0DAD838D52"/>
        <xdr:cNvPicPr>
          <a:picLocks noChangeAspect="1"/>
        </xdr:cNvPicPr>
      </xdr:nvPicPr>
      <xdr:blipFill>
        <a:blip r:embed="rId363"/>
        <a:stretch>
          <a:fillRect/>
        </a:stretch>
      </xdr:blipFill>
      <xdr:spPr>
        <a:xfrm>
          <a:off x="12380595" y="611843455"/>
          <a:ext cx="2058035" cy="2032635"/>
        </a:xfrm>
        <a:prstGeom prst="rect">
          <a:avLst/>
        </a:prstGeom>
        <a:noFill/>
        <a:ln w="9525">
          <a:noFill/>
        </a:ln>
      </xdr:spPr>
    </xdr:pic>
  </etc:cellImage>
  <etc:cellImage>
    <xdr:pic>
      <xdr:nvPicPr>
        <xdr:cNvPr id="377" name="ID_93C7921AE65F4F41B96F579FA2A22B2B" descr="t01a10a0840f8795ef1"/>
        <xdr:cNvPicPr>
          <a:picLocks noChangeAspect="1"/>
        </xdr:cNvPicPr>
      </xdr:nvPicPr>
      <xdr:blipFill>
        <a:blip r:embed="rId364"/>
        <a:stretch>
          <a:fillRect/>
        </a:stretch>
      </xdr:blipFill>
      <xdr:spPr>
        <a:xfrm>
          <a:off x="12359640" y="1017710055"/>
          <a:ext cx="2095500" cy="2091690"/>
        </a:xfrm>
        <a:prstGeom prst="rect">
          <a:avLst/>
        </a:prstGeom>
        <a:noFill/>
        <a:ln w="9525">
          <a:noFill/>
        </a:ln>
      </xdr:spPr>
    </xdr:pic>
  </etc:cellImage>
  <etc:cellImage>
    <xdr:pic>
      <xdr:nvPicPr>
        <xdr:cNvPr id="378" name="ID_53D3DD601B0043FC9DB005D38009DC93"/>
        <xdr:cNvPicPr>
          <a:picLocks noChangeAspect="1"/>
        </xdr:cNvPicPr>
      </xdr:nvPicPr>
      <xdr:blipFill>
        <a:blip r:embed="rId365"/>
        <a:srcRect l="13605" t="27463" r="4601"/>
        <a:stretch>
          <a:fillRect/>
        </a:stretch>
      </xdr:blipFill>
      <xdr:spPr>
        <a:xfrm>
          <a:off x="12365990" y="613994200"/>
          <a:ext cx="2082800" cy="2057400"/>
        </a:xfrm>
        <a:prstGeom prst="rect">
          <a:avLst/>
        </a:prstGeom>
        <a:noFill/>
        <a:ln w="9525">
          <a:noFill/>
        </a:ln>
      </xdr:spPr>
    </xdr:pic>
  </etc:cellImage>
  <etc:cellImage>
    <xdr:pic>
      <xdr:nvPicPr>
        <xdr:cNvPr id="379" name="ID_3860F09718534D04A23B50CF39D42CF8"/>
        <xdr:cNvPicPr>
          <a:picLocks noChangeAspect="1"/>
        </xdr:cNvPicPr>
      </xdr:nvPicPr>
      <xdr:blipFill>
        <a:blip r:embed="rId366"/>
        <a:stretch>
          <a:fillRect/>
        </a:stretch>
      </xdr:blipFill>
      <xdr:spPr>
        <a:xfrm>
          <a:off x="12371705" y="721952455"/>
          <a:ext cx="2075180" cy="2040890"/>
        </a:xfrm>
        <a:prstGeom prst="rect">
          <a:avLst/>
        </a:prstGeom>
        <a:noFill/>
        <a:ln w="9525">
          <a:noFill/>
        </a:ln>
      </xdr:spPr>
    </xdr:pic>
  </etc:cellImage>
  <etc:cellImage>
    <xdr:pic>
      <xdr:nvPicPr>
        <xdr:cNvPr id="380" name="ID_13288998F79140469E8AE6D9D2C3485B"/>
        <xdr:cNvPicPr>
          <a:picLocks noChangeAspect="1"/>
        </xdr:cNvPicPr>
      </xdr:nvPicPr>
      <xdr:blipFill>
        <a:blip r:embed="rId367"/>
        <a:srcRect t="8759" b="18312"/>
        <a:stretch>
          <a:fillRect/>
        </a:stretch>
      </xdr:blipFill>
      <xdr:spPr>
        <a:xfrm>
          <a:off x="12355195" y="667977455"/>
          <a:ext cx="2106295" cy="2040890"/>
        </a:xfrm>
        <a:prstGeom prst="rect">
          <a:avLst/>
        </a:prstGeom>
        <a:noFill/>
        <a:ln w="9525">
          <a:noFill/>
        </a:ln>
      </xdr:spPr>
    </xdr:pic>
  </etc:cellImage>
  <etc:cellImage>
    <xdr:pic>
      <xdr:nvPicPr>
        <xdr:cNvPr id="381" name="ID_A7F066C7467740D99B84BDCAE920F228" descr="e450b03df25049a9bf53c1597cc6e9fa.jpg (1920×1080)"/>
        <xdr:cNvPicPr>
          <a:picLocks noChangeAspect="1"/>
        </xdr:cNvPicPr>
      </xdr:nvPicPr>
      <xdr:blipFill>
        <a:blip r:embed="rId368"/>
        <a:srcRect l="14056" r="6702"/>
        <a:stretch>
          <a:fillRect/>
        </a:stretch>
      </xdr:blipFill>
      <xdr:spPr>
        <a:xfrm>
          <a:off x="12361545" y="616178600"/>
          <a:ext cx="2091055" cy="2006600"/>
        </a:xfrm>
        <a:prstGeom prst="rect">
          <a:avLst/>
        </a:prstGeom>
        <a:noFill/>
        <a:ln w="9525">
          <a:noFill/>
        </a:ln>
      </xdr:spPr>
    </xdr:pic>
  </etc:cellImage>
  <etc:cellImage>
    <xdr:pic>
      <xdr:nvPicPr>
        <xdr:cNvPr id="382" name="ID_9197EE997AE7489DAADC7B6F7B3966FD"/>
        <xdr:cNvPicPr>
          <a:picLocks noChangeAspect="1"/>
        </xdr:cNvPicPr>
      </xdr:nvPicPr>
      <xdr:blipFill>
        <a:blip r:embed="rId369"/>
        <a:stretch>
          <a:fillRect/>
        </a:stretch>
      </xdr:blipFill>
      <xdr:spPr>
        <a:xfrm>
          <a:off x="12480290" y="724524840"/>
          <a:ext cx="1856105" cy="1214120"/>
        </a:xfrm>
        <a:prstGeom prst="rect">
          <a:avLst/>
        </a:prstGeom>
        <a:noFill/>
        <a:ln w="9525">
          <a:noFill/>
        </a:ln>
      </xdr:spPr>
    </xdr:pic>
  </etc:cellImage>
  <etc:cellImage>
    <xdr:pic>
      <xdr:nvPicPr>
        <xdr:cNvPr id="383" name="ID_5035978A9B5C4983BF838018B434FE90" descr="mmexport1761464264119"/>
        <xdr:cNvPicPr>
          <a:picLocks noChangeAspect="1"/>
        </xdr:cNvPicPr>
      </xdr:nvPicPr>
      <xdr:blipFill>
        <a:blip r:embed="rId370"/>
        <a:stretch>
          <a:fillRect/>
        </a:stretch>
      </xdr:blipFill>
      <xdr:spPr>
        <a:xfrm>
          <a:off x="12440920" y="1237928055"/>
          <a:ext cx="1932940" cy="2083435"/>
        </a:xfrm>
        <a:prstGeom prst="rect">
          <a:avLst/>
        </a:prstGeom>
        <a:noFill/>
        <a:ln w="9525">
          <a:noFill/>
        </a:ln>
      </xdr:spPr>
    </xdr:pic>
  </etc:cellImage>
  <etc:cellImage>
    <xdr:pic>
      <xdr:nvPicPr>
        <xdr:cNvPr id="384" name="ID_11EA153B6FFA43A7981CA286CCBD582F"/>
        <xdr:cNvPicPr>
          <a:picLocks noChangeAspect="1"/>
        </xdr:cNvPicPr>
      </xdr:nvPicPr>
      <xdr:blipFill>
        <a:blip r:embed="rId371"/>
        <a:stretch>
          <a:fillRect/>
        </a:stretch>
      </xdr:blipFill>
      <xdr:spPr>
        <a:xfrm>
          <a:off x="12419965" y="622731165"/>
          <a:ext cx="1976755" cy="1855470"/>
        </a:xfrm>
        <a:prstGeom prst="rect">
          <a:avLst/>
        </a:prstGeom>
        <a:noFill/>
        <a:ln w="9525">
          <a:noFill/>
        </a:ln>
      </xdr:spPr>
    </xdr:pic>
  </etc:cellImage>
  <etc:cellImage>
    <xdr:pic>
      <xdr:nvPicPr>
        <xdr:cNvPr id="385" name="ID_911AEBB22E4D48228B3F4B54D1E24A48" descr="t04c3a76cf09b9299c6"/>
        <xdr:cNvPicPr>
          <a:picLocks noChangeAspect="1"/>
        </xdr:cNvPicPr>
      </xdr:nvPicPr>
      <xdr:blipFill>
        <a:blip r:embed="rId372"/>
        <a:stretch>
          <a:fillRect/>
        </a:stretch>
      </xdr:blipFill>
      <xdr:spPr>
        <a:xfrm>
          <a:off x="12355195" y="629267220"/>
          <a:ext cx="2106295" cy="1737360"/>
        </a:xfrm>
        <a:prstGeom prst="rect">
          <a:avLst/>
        </a:prstGeom>
        <a:noFill/>
        <a:ln w="9525">
          <a:noFill/>
        </a:ln>
      </xdr:spPr>
    </xdr:pic>
  </etc:cellImage>
  <etc:cellImage>
    <xdr:pic>
      <xdr:nvPicPr>
        <xdr:cNvPr id="386" name="ID_D2A7D63EF6AD44C8A6DEDCEE89A18A2F"/>
        <xdr:cNvPicPr>
          <a:picLocks noChangeAspect="1"/>
        </xdr:cNvPicPr>
      </xdr:nvPicPr>
      <xdr:blipFill>
        <a:blip r:embed="rId373"/>
        <a:stretch>
          <a:fillRect/>
        </a:stretch>
      </xdr:blipFill>
      <xdr:spPr>
        <a:xfrm>
          <a:off x="12371705" y="631257310"/>
          <a:ext cx="2070735" cy="2066290"/>
        </a:xfrm>
        <a:prstGeom prst="rect">
          <a:avLst/>
        </a:prstGeom>
        <a:noFill/>
        <a:ln w="9525">
          <a:noFill/>
        </a:ln>
      </xdr:spPr>
    </xdr:pic>
  </etc:cellImage>
  <etc:cellImage>
    <xdr:pic>
      <xdr:nvPicPr>
        <xdr:cNvPr id="387" name="ID_5F180EBBC96144529EAA861C1CA9B365" descr="t043db2b646e5f34ea0"/>
        <xdr:cNvPicPr>
          <a:picLocks noChangeAspect="1"/>
        </xdr:cNvPicPr>
      </xdr:nvPicPr>
      <xdr:blipFill>
        <a:blip r:embed="rId374"/>
        <a:stretch>
          <a:fillRect/>
        </a:stretch>
      </xdr:blipFill>
      <xdr:spPr>
        <a:xfrm>
          <a:off x="12359640" y="635567055"/>
          <a:ext cx="2095500" cy="2091690"/>
        </a:xfrm>
        <a:prstGeom prst="rect">
          <a:avLst/>
        </a:prstGeom>
        <a:noFill/>
        <a:ln w="9525">
          <a:noFill/>
        </a:ln>
      </xdr:spPr>
    </xdr:pic>
  </etc:cellImage>
  <etc:cellImage>
    <xdr:pic>
      <xdr:nvPicPr>
        <xdr:cNvPr id="388" name="ID_02E95A0E8E1648668A49644B1006187C"/>
        <xdr:cNvPicPr>
          <a:picLocks noChangeAspect="1"/>
        </xdr:cNvPicPr>
      </xdr:nvPicPr>
      <xdr:blipFill>
        <a:blip r:embed="rId375"/>
        <a:srcRect l="22736" t="5670" r="21368" b="52933"/>
        <a:stretch>
          <a:fillRect/>
        </a:stretch>
      </xdr:blipFill>
      <xdr:spPr>
        <a:xfrm>
          <a:off x="12371705" y="642052310"/>
          <a:ext cx="2075180" cy="2066290"/>
        </a:xfrm>
        <a:prstGeom prst="rect">
          <a:avLst/>
        </a:prstGeom>
        <a:noFill/>
        <a:ln w="9525">
          <a:noFill/>
        </a:ln>
      </xdr:spPr>
    </xdr:pic>
  </etc:cellImage>
  <etc:cellImage>
    <xdr:pic>
      <xdr:nvPicPr>
        <xdr:cNvPr id="389" name="ID_2A5F7B81362847F2AD74AFE9E86BFD0F"/>
        <xdr:cNvPicPr>
          <a:picLocks noChangeAspect="1"/>
        </xdr:cNvPicPr>
      </xdr:nvPicPr>
      <xdr:blipFill>
        <a:blip r:embed="rId376"/>
        <a:stretch>
          <a:fillRect/>
        </a:stretch>
      </xdr:blipFill>
      <xdr:spPr>
        <a:xfrm>
          <a:off x="12361545" y="646362055"/>
          <a:ext cx="2093595" cy="2091690"/>
        </a:xfrm>
        <a:prstGeom prst="rect">
          <a:avLst/>
        </a:prstGeom>
        <a:noFill/>
        <a:ln w="9525">
          <a:noFill/>
        </a:ln>
      </xdr:spPr>
    </xdr:pic>
  </etc:cellImage>
  <etc:cellImage>
    <xdr:pic>
      <xdr:nvPicPr>
        <xdr:cNvPr id="390" name="ID_BF44D0C576C54E589A6BF11EB3EC0CC0"/>
        <xdr:cNvPicPr>
          <a:picLocks noChangeAspect="1"/>
        </xdr:cNvPicPr>
      </xdr:nvPicPr>
      <xdr:blipFill>
        <a:blip r:embed="rId377"/>
        <a:stretch>
          <a:fillRect/>
        </a:stretch>
      </xdr:blipFill>
      <xdr:spPr>
        <a:xfrm>
          <a:off x="12363450" y="752178455"/>
          <a:ext cx="2089150" cy="2040890"/>
        </a:xfrm>
        <a:prstGeom prst="rect">
          <a:avLst/>
        </a:prstGeom>
        <a:noFill/>
        <a:ln w="9525">
          <a:noFill/>
        </a:ln>
      </xdr:spPr>
    </xdr:pic>
  </etc:cellImage>
  <etc:cellImage>
    <xdr:pic>
      <xdr:nvPicPr>
        <xdr:cNvPr id="391" name="ID_7AF26973B461408CBDDB6E962CAC2C4D" descr="莲子"/>
        <xdr:cNvPicPr>
          <a:picLocks noChangeAspect="1"/>
        </xdr:cNvPicPr>
      </xdr:nvPicPr>
      <xdr:blipFill>
        <a:blip r:embed="rId378"/>
        <a:stretch>
          <a:fillRect/>
        </a:stretch>
      </xdr:blipFill>
      <xdr:spPr>
        <a:xfrm>
          <a:off x="12430125" y="650747365"/>
          <a:ext cx="1956435" cy="1957070"/>
        </a:xfrm>
        <a:prstGeom prst="rect">
          <a:avLst/>
        </a:prstGeom>
        <a:noFill/>
        <a:ln w="9525">
          <a:noFill/>
        </a:ln>
      </xdr:spPr>
    </xdr:pic>
  </etc:cellImage>
  <etc:cellImage>
    <xdr:pic>
      <xdr:nvPicPr>
        <xdr:cNvPr id="392" name="ID_261645DE1E6543759895A33940015590" descr="t04e6e3b6c298894f39"/>
        <xdr:cNvPicPr>
          <a:picLocks noChangeAspect="1"/>
        </xdr:cNvPicPr>
      </xdr:nvPicPr>
      <xdr:blipFill>
        <a:blip r:embed="rId379"/>
        <a:stretch>
          <a:fillRect/>
        </a:stretch>
      </xdr:blipFill>
      <xdr:spPr>
        <a:xfrm>
          <a:off x="12359640" y="652839055"/>
          <a:ext cx="2095500" cy="2091690"/>
        </a:xfrm>
        <a:prstGeom prst="rect">
          <a:avLst/>
        </a:prstGeom>
        <a:noFill/>
        <a:ln w="9525">
          <a:noFill/>
        </a:ln>
      </xdr:spPr>
    </xdr:pic>
  </etc:cellImage>
  <etc:cellImage>
    <xdr:pic>
      <xdr:nvPicPr>
        <xdr:cNvPr id="393" name="ID_0747B95649DC4E329A778E6073FD11B3"/>
        <xdr:cNvPicPr>
          <a:picLocks noChangeAspect="1"/>
        </xdr:cNvPicPr>
      </xdr:nvPicPr>
      <xdr:blipFill>
        <a:blip r:embed="rId380"/>
        <a:stretch>
          <a:fillRect/>
        </a:stretch>
      </xdr:blipFill>
      <xdr:spPr>
        <a:xfrm>
          <a:off x="12363450" y="758773565"/>
          <a:ext cx="2089150" cy="1796415"/>
        </a:xfrm>
        <a:prstGeom prst="rect">
          <a:avLst/>
        </a:prstGeom>
        <a:noFill/>
        <a:ln w="9525">
          <a:noFill/>
        </a:ln>
      </xdr:spPr>
    </xdr:pic>
  </etc:cellImage>
  <etc:cellImage>
    <xdr:pic>
      <xdr:nvPicPr>
        <xdr:cNvPr id="394" name="ID_60ECA5FAB13042A98DA4452F1DF65430" descr="糯米"/>
        <xdr:cNvPicPr>
          <a:picLocks noChangeAspect="1"/>
        </xdr:cNvPicPr>
      </xdr:nvPicPr>
      <xdr:blipFill>
        <a:blip r:embed="rId381"/>
        <a:stretch>
          <a:fillRect/>
        </a:stretch>
      </xdr:blipFill>
      <xdr:spPr>
        <a:xfrm>
          <a:off x="12390755" y="704714110"/>
          <a:ext cx="2035175" cy="1973580"/>
        </a:xfrm>
        <a:prstGeom prst="rect">
          <a:avLst/>
        </a:prstGeom>
        <a:noFill/>
        <a:ln w="9525">
          <a:noFill/>
        </a:ln>
      </xdr:spPr>
    </xdr:pic>
  </etc:cellImage>
  <etc:cellImage>
    <xdr:pic>
      <xdr:nvPicPr>
        <xdr:cNvPr id="395" name="ID_0D0478D6D6594FA8BAD7B28A1D7753DA"/>
        <xdr:cNvPicPr>
          <a:picLocks noChangeAspect="1"/>
        </xdr:cNvPicPr>
      </xdr:nvPicPr>
      <xdr:blipFill>
        <a:blip r:embed="rId382"/>
        <a:stretch>
          <a:fillRect/>
        </a:stretch>
      </xdr:blipFill>
      <xdr:spPr>
        <a:xfrm>
          <a:off x="12369800" y="659316055"/>
          <a:ext cx="2077085" cy="2083435"/>
        </a:xfrm>
        <a:prstGeom prst="rect">
          <a:avLst/>
        </a:prstGeom>
        <a:noFill/>
        <a:ln w="9525">
          <a:noFill/>
        </a:ln>
      </xdr:spPr>
    </xdr:pic>
  </etc:cellImage>
  <etc:cellImage>
    <xdr:pic>
      <xdr:nvPicPr>
        <xdr:cNvPr id="396" name="ID_7B5D01D63BC34CB89D6A35A781C5CB37" descr="b02ecdf148d34f4a91f3cbc306d9f17f.jpg (1338×1004)"/>
        <xdr:cNvPicPr>
          <a:picLocks noChangeAspect="1"/>
        </xdr:cNvPicPr>
      </xdr:nvPicPr>
      <xdr:blipFill>
        <a:blip r:embed="rId383"/>
        <a:srcRect r="17972"/>
        <a:stretch>
          <a:fillRect/>
        </a:stretch>
      </xdr:blipFill>
      <xdr:spPr>
        <a:xfrm>
          <a:off x="12369800" y="670128200"/>
          <a:ext cx="2077085" cy="2049145"/>
        </a:xfrm>
        <a:prstGeom prst="rect">
          <a:avLst/>
        </a:prstGeom>
        <a:noFill/>
        <a:ln w="9525">
          <a:noFill/>
        </a:ln>
      </xdr:spPr>
    </xdr:pic>
  </etc:cellImage>
  <etc:cellImage>
    <xdr:pic>
      <xdr:nvPicPr>
        <xdr:cNvPr id="397" name="ID_39062D589D01455198757441C3C87ECC" descr="干香菇"/>
        <xdr:cNvPicPr>
          <a:picLocks noChangeAspect="1"/>
        </xdr:cNvPicPr>
      </xdr:nvPicPr>
      <xdr:blipFill>
        <a:blip r:embed="rId384"/>
        <a:stretch>
          <a:fillRect/>
        </a:stretch>
      </xdr:blipFill>
      <xdr:spPr>
        <a:xfrm>
          <a:off x="12386310" y="672295455"/>
          <a:ext cx="2043430" cy="2040890"/>
        </a:xfrm>
        <a:prstGeom prst="rect">
          <a:avLst/>
        </a:prstGeom>
        <a:noFill/>
        <a:ln w="9525">
          <a:noFill/>
        </a:ln>
      </xdr:spPr>
    </xdr:pic>
  </etc:cellImage>
  <etc:cellImage>
    <xdr:pic>
      <xdr:nvPicPr>
        <xdr:cNvPr id="398" name="ID_1CE5CFF4344C402A9B93946B440CF571"/>
        <xdr:cNvPicPr>
          <a:picLocks noChangeAspect="1"/>
        </xdr:cNvPicPr>
      </xdr:nvPicPr>
      <xdr:blipFill>
        <a:blip r:embed="rId385"/>
        <a:srcRect t="33644" b="2866"/>
        <a:stretch>
          <a:fillRect/>
        </a:stretch>
      </xdr:blipFill>
      <xdr:spPr>
        <a:xfrm>
          <a:off x="12376150" y="683056800"/>
          <a:ext cx="2064385" cy="2099945"/>
        </a:xfrm>
        <a:prstGeom prst="rect">
          <a:avLst/>
        </a:prstGeom>
        <a:noFill/>
        <a:ln w="9525">
          <a:noFill/>
        </a:ln>
      </xdr:spPr>
    </xdr:pic>
  </etc:cellImage>
  <etc:cellImage>
    <xdr:pic>
      <xdr:nvPicPr>
        <xdr:cNvPr id="399" name="ID_E515776915A94124B5CC136FCAFA4374"/>
        <xdr:cNvPicPr>
          <a:picLocks noChangeAspect="1"/>
        </xdr:cNvPicPr>
      </xdr:nvPicPr>
      <xdr:blipFill>
        <a:blip r:embed="rId386"/>
        <a:stretch>
          <a:fillRect/>
        </a:stretch>
      </xdr:blipFill>
      <xdr:spPr>
        <a:xfrm>
          <a:off x="12395200" y="788906855"/>
          <a:ext cx="2028825" cy="1981835"/>
        </a:xfrm>
        <a:prstGeom prst="rect">
          <a:avLst/>
        </a:prstGeom>
        <a:noFill/>
        <a:ln w="9525">
          <a:noFill/>
        </a:ln>
      </xdr:spPr>
    </xdr:pic>
  </etc:cellImage>
  <etc:cellImage>
    <xdr:pic>
      <xdr:nvPicPr>
        <xdr:cNvPr id="400" name="ID_E7412DB9EA7E414C97854BDFA1939A3E"/>
        <xdr:cNvPicPr>
          <a:picLocks noChangeAspect="1"/>
        </xdr:cNvPicPr>
      </xdr:nvPicPr>
      <xdr:blipFill>
        <a:blip r:embed="rId387"/>
        <a:stretch>
          <a:fillRect/>
        </a:stretch>
      </xdr:blipFill>
      <xdr:spPr>
        <a:xfrm>
          <a:off x="12388850" y="737057200"/>
          <a:ext cx="2037080" cy="2049145"/>
        </a:xfrm>
        <a:prstGeom prst="rect">
          <a:avLst/>
        </a:prstGeom>
        <a:noFill/>
        <a:ln w="9525">
          <a:noFill/>
        </a:ln>
      </xdr:spPr>
    </xdr:pic>
  </etc:cellImage>
  <etc:cellImage>
    <xdr:pic>
      <xdr:nvPicPr>
        <xdr:cNvPr id="401" name="ID_CF405295F8C948F3B9FD784C864F803C" descr="t04aa7bf577984582a7"/>
        <xdr:cNvPicPr>
          <a:picLocks noChangeAspect="1"/>
        </xdr:cNvPicPr>
      </xdr:nvPicPr>
      <xdr:blipFill>
        <a:blip r:embed="rId388"/>
        <a:stretch>
          <a:fillRect/>
        </a:stretch>
      </xdr:blipFill>
      <xdr:spPr>
        <a:xfrm>
          <a:off x="12359640" y="689542055"/>
          <a:ext cx="2095500" cy="2091690"/>
        </a:xfrm>
        <a:prstGeom prst="rect">
          <a:avLst/>
        </a:prstGeom>
        <a:noFill/>
        <a:ln w="9525">
          <a:noFill/>
        </a:ln>
      </xdr:spPr>
    </xdr:pic>
  </etc:cellImage>
  <etc:cellImage>
    <xdr:pic>
      <xdr:nvPicPr>
        <xdr:cNvPr id="402" name="ID_07280203B4EF405898F3EDDDC96BE411"/>
        <xdr:cNvPicPr>
          <a:picLocks noChangeAspect="1"/>
        </xdr:cNvPicPr>
      </xdr:nvPicPr>
      <xdr:blipFill>
        <a:blip r:embed="rId389"/>
        <a:srcRect l="9067" t="33534" r="14264" b="29889"/>
        <a:stretch>
          <a:fillRect/>
        </a:stretch>
      </xdr:blipFill>
      <xdr:spPr>
        <a:xfrm>
          <a:off x="12386310" y="771575800"/>
          <a:ext cx="2043430" cy="2099945"/>
        </a:xfrm>
        <a:prstGeom prst="rect">
          <a:avLst/>
        </a:prstGeom>
        <a:noFill/>
        <a:ln w="9525">
          <a:noFill/>
        </a:ln>
      </xdr:spPr>
    </xdr:pic>
  </etc:cellImage>
  <etc:cellImage>
    <xdr:pic>
      <xdr:nvPicPr>
        <xdr:cNvPr id="403" name="ID_752B41F49E05474CA703AE0A39986E57" descr="四川泡辣椒泡红小米辣辣椒30kg红小米椒泡菜酱红腌菜散装批发-阿里巴巴"/>
        <xdr:cNvPicPr>
          <a:picLocks noChangeAspect="1"/>
        </xdr:cNvPicPr>
      </xdr:nvPicPr>
      <xdr:blipFill>
        <a:blip r:embed="rId390"/>
        <a:stretch>
          <a:fillRect/>
        </a:stretch>
      </xdr:blipFill>
      <xdr:spPr>
        <a:xfrm>
          <a:off x="12367895" y="749994055"/>
          <a:ext cx="2078990" cy="2083435"/>
        </a:xfrm>
        <a:prstGeom prst="rect">
          <a:avLst/>
        </a:prstGeom>
        <a:noFill/>
        <a:ln w="9525">
          <a:noFill/>
        </a:ln>
      </xdr:spPr>
    </xdr:pic>
  </etc:cellImage>
  <etc:cellImage>
    <xdr:pic>
      <xdr:nvPicPr>
        <xdr:cNvPr id="404" name="ID_85269BA006EA4F2BAF0ADBF2497170B9" descr="597d9ff969ee49bc9e08cf53f7403faf.jpg (1338×1004)"/>
        <xdr:cNvPicPr>
          <a:picLocks noChangeAspect="1"/>
        </xdr:cNvPicPr>
      </xdr:nvPicPr>
      <xdr:blipFill>
        <a:blip r:embed="rId391"/>
        <a:srcRect r="32860" b="18712"/>
        <a:stretch>
          <a:fillRect/>
        </a:stretch>
      </xdr:blipFill>
      <xdr:spPr>
        <a:xfrm>
          <a:off x="12363450" y="696027310"/>
          <a:ext cx="2089150" cy="2075180"/>
        </a:xfrm>
        <a:prstGeom prst="rect">
          <a:avLst/>
        </a:prstGeom>
        <a:noFill/>
        <a:ln w="9525">
          <a:noFill/>
        </a:ln>
      </xdr:spPr>
    </xdr:pic>
  </etc:cellImage>
  <etc:cellImage>
    <xdr:pic>
      <xdr:nvPicPr>
        <xdr:cNvPr id="405" name="ID_54CB7B7CDDF9405F82703A8FD2EED04D"/>
        <xdr:cNvPicPr>
          <a:picLocks noChangeAspect="1"/>
        </xdr:cNvPicPr>
      </xdr:nvPicPr>
      <xdr:blipFill>
        <a:blip r:embed="rId392"/>
        <a:srcRect l="46263" t="21445" r="7654" b="54015"/>
        <a:stretch>
          <a:fillRect/>
        </a:stretch>
      </xdr:blipFill>
      <xdr:spPr>
        <a:xfrm flipH="1">
          <a:off x="12388850" y="927335585"/>
          <a:ext cx="2028825" cy="1475740"/>
        </a:xfrm>
        <a:prstGeom prst="rect">
          <a:avLst/>
        </a:prstGeom>
        <a:noFill/>
        <a:ln w="9525">
          <a:noFill/>
        </a:ln>
      </xdr:spPr>
    </xdr:pic>
  </etc:cellImage>
  <etc:cellImage>
    <xdr:pic>
      <xdr:nvPicPr>
        <xdr:cNvPr id="406" name="ID_372602FAF6D14D1599CE227FFB0F295D" descr="t01c557f3c659917e7a"/>
        <xdr:cNvPicPr>
          <a:picLocks noChangeAspect="1"/>
        </xdr:cNvPicPr>
      </xdr:nvPicPr>
      <xdr:blipFill>
        <a:blip r:embed="rId393"/>
        <a:stretch>
          <a:fillRect/>
        </a:stretch>
      </xdr:blipFill>
      <xdr:spPr>
        <a:xfrm>
          <a:off x="12359640" y="698178055"/>
          <a:ext cx="2095500" cy="2091690"/>
        </a:xfrm>
        <a:prstGeom prst="rect">
          <a:avLst/>
        </a:prstGeom>
        <a:noFill/>
        <a:ln w="9525">
          <a:noFill/>
        </a:ln>
      </xdr:spPr>
    </xdr:pic>
  </etc:cellImage>
  <etc:cellImage>
    <xdr:pic>
      <xdr:nvPicPr>
        <xdr:cNvPr id="407" name="ID_18339595B6E8436AA913C041871FBC38" descr="tb_image_share_1758868763100.jpg"/>
        <xdr:cNvPicPr>
          <a:picLocks noChangeAspect="1"/>
        </xdr:cNvPicPr>
      </xdr:nvPicPr>
      <xdr:blipFill>
        <a:blip r:embed="rId394"/>
        <a:srcRect t="29031" r="2773" b="23492"/>
        <a:stretch>
          <a:fillRect/>
        </a:stretch>
      </xdr:blipFill>
      <xdr:spPr>
        <a:xfrm>
          <a:off x="12369800" y="707185530"/>
          <a:ext cx="2077085" cy="1349375"/>
        </a:xfrm>
        <a:prstGeom prst="rect">
          <a:avLst/>
        </a:prstGeom>
        <a:noFill/>
        <a:ln w="9525">
          <a:noFill/>
        </a:ln>
      </xdr:spPr>
    </xdr:pic>
  </etc:cellImage>
  <etc:cellImage>
    <xdr:pic>
      <xdr:nvPicPr>
        <xdr:cNvPr id="408" name="ID_719F500F41704842A13CF287F32B773B"/>
        <xdr:cNvPicPr>
          <a:picLocks noChangeAspect="1"/>
        </xdr:cNvPicPr>
      </xdr:nvPicPr>
      <xdr:blipFill>
        <a:blip r:embed="rId395"/>
        <a:stretch>
          <a:fillRect/>
        </a:stretch>
      </xdr:blipFill>
      <xdr:spPr>
        <a:xfrm>
          <a:off x="12384405" y="720029675"/>
          <a:ext cx="2047875" cy="1568450"/>
        </a:xfrm>
        <a:prstGeom prst="rect">
          <a:avLst/>
        </a:prstGeom>
        <a:noFill/>
        <a:ln w="9525">
          <a:noFill/>
        </a:ln>
      </xdr:spPr>
    </xdr:pic>
  </etc:cellImage>
  <etc:cellImage>
    <xdr:pic>
      <xdr:nvPicPr>
        <xdr:cNvPr id="409" name="ID_E8DA7D14E43B442CAD98C12415B168DF"/>
        <xdr:cNvPicPr>
          <a:picLocks noChangeAspect="1"/>
        </xdr:cNvPicPr>
      </xdr:nvPicPr>
      <xdr:blipFill>
        <a:blip r:embed="rId396"/>
        <a:stretch>
          <a:fillRect/>
        </a:stretch>
      </xdr:blipFill>
      <xdr:spPr>
        <a:xfrm>
          <a:off x="12438380" y="1181820090"/>
          <a:ext cx="1956435" cy="2049145"/>
        </a:xfrm>
        <a:prstGeom prst="rect">
          <a:avLst/>
        </a:prstGeom>
        <a:noFill/>
        <a:ln w="9525">
          <a:noFill/>
        </a:ln>
      </xdr:spPr>
    </xdr:pic>
  </etc:cellImage>
  <etc:cellImage>
    <xdr:pic>
      <xdr:nvPicPr>
        <xdr:cNvPr id="410" name="ID_8F7956590D384525B21F84279142BC92"/>
        <xdr:cNvPicPr>
          <a:picLocks noChangeAspect="1"/>
        </xdr:cNvPicPr>
      </xdr:nvPicPr>
      <xdr:blipFill>
        <a:blip r:embed="rId397"/>
        <a:srcRect l="16438" t="11823" r="13608" b="20451"/>
        <a:stretch>
          <a:fillRect/>
        </a:stretch>
      </xdr:blipFill>
      <xdr:spPr>
        <a:xfrm>
          <a:off x="12384405" y="726253310"/>
          <a:ext cx="2047875" cy="2075180"/>
        </a:xfrm>
        <a:prstGeom prst="rect">
          <a:avLst/>
        </a:prstGeom>
        <a:noFill/>
        <a:ln w="9525">
          <a:noFill/>
        </a:ln>
      </xdr:spPr>
    </xdr:pic>
  </etc:cellImage>
  <etc:cellImage>
    <xdr:pic>
      <xdr:nvPicPr>
        <xdr:cNvPr id="411" name="ID_9E43B92169354146A66F0A310F137101"/>
        <xdr:cNvPicPr>
          <a:picLocks noChangeAspect="1"/>
        </xdr:cNvPicPr>
      </xdr:nvPicPr>
      <xdr:blipFill>
        <a:blip r:embed="rId398"/>
        <a:srcRect t="21230"/>
        <a:stretch>
          <a:fillRect/>
        </a:stretch>
      </xdr:blipFill>
      <xdr:spPr>
        <a:xfrm>
          <a:off x="12355195" y="728825695"/>
          <a:ext cx="2106295" cy="1240155"/>
        </a:xfrm>
        <a:prstGeom prst="rect">
          <a:avLst/>
        </a:prstGeom>
        <a:noFill/>
        <a:ln w="9525">
          <a:noFill/>
        </a:ln>
      </xdr:spPr>
    </xdr:pic>
  </etc:cellImage>
  <etc:cellImage>
    <xdr:pic>
      <xdr:nvPicPr>
        <xdr:cNvPr id="412" name="ID_757A8B425BC140F49659D1DA77095D47"/>
        <xdr:cNvPicPr>
          <a:picLocks noChangeAspect="1"/>
        </xdr:cNvPicPr>
      </xdr:nvPicPr>
      <xdr:blipFill>
        <a:blip r:embed="rId399"/>
        <a:stretch>
          <a:fillRect/>
        </a:stretch>
      </xdr:blipFill>
      <xdr:spPr>
        <a:xfrm>
          <a:off x="12355195" y="734889310"/>
          <a:ext cx="2106295" cy="2075180"/>
        </a:xfrm>
        <a:prstGeom prst="rect">
          <a:avLst/>
        </a:prstGeom>
        <a:noFill/>
        <a:ln w="9525">
          <a:noFill/>
        </a:ln>
      </xdr:spPr>
    </xdr:pic>
  </etc:cellImage>
  <etc:cellImage>
    <xdr:pic>
      <xdr:nvPicPr>
        <xdr:cNvPr id="413" name="ID_9BDE9C76F8CC427FAE7956BD87D72960"/>
        <xdr:cNvPicPr>
          <a:picLocks noChangeAspect="1"/>
        </xdr:cNvPicPr>
      </xdr:nvPicPr>
      <xdr:blipFill>
        <a:blip r:embed="rId400"/>
        <a:stretch>
          <a:fillRect/>
        </a:stretch>
      </xdr:blipFill>
      <xdr:spPr>
        <a:xfrm>
          <a:off x="12432665" y="1052321365"/>
          <a:ext cx="1949450" cy="1948180"/>
        </a:xfrm>
        <a:prstGeom prst="rect">
          <a:avLst/>
        </a:prstGeom>
        <a:noFill/>
        <a:ln w="9525">
          <a:noFill/>
        </a:ln>
      </xdr:spPr>
    </xdr:pic>
  </etc:cellImage>
  <etc:cellImage>
    <xdr:pic>
      <xdr:nvPicPr>
        <xdr:cNvPr id="414" name="ID_3B1DF444D9CC4874863FA961B4BDDF52"/>
        <xdr:cNvPicPr>
          <a:picLocks noChangeAspect="1"/>
        </xdr:cNvPicPr>
      </xdr:nvPicPr>
      <xdr:blipFill>
        <a:blip r:embed="rId401"/>
        <a:stretch>
          <a:fillRect/>
        </a:stretch>
      </xdr:blipFill>
      <xdr:spPr>
        <a:xfrm>
          <a:off x="12355195" y="739190800"/>
          <a:ext cx="2106295" cy="2108200"/>
        </a:xfrm>
        <a:prstGeom prst="rect">
          <a:avLst/>
        </a:prstGeom>
        <a:noFill/>
        <a:ln w="9525">
          <a:noFill/>
        </a:ln>
      </xdr:spPr>
    </xdr:pic>
  </etc:cellImage>
  <etc:cellImage>
    <xdr:pic>
      <xdr:nvPicPr>
        <xdr:cNvPr id="415" name="ID_B1B764BB5DBB4B4B9AA20199B0627552"/>
        <xdr:cNvPicPr>
          <a:picLocks noChangeAspect="1"/>
        </xdr:cNvPicPr>
      </xdr:nvPicPr>
      <xdr:blipFill>
        <a:blip r:embed="rId402"/>
        <a:srcRect t="16696" r="14859" b="20837"/>
        <a:stretch>
          <a:fillRect/>
        </a:stretch>
      </xdr:blipFill>
      <xdr:spPr>
        <a:xfrm>
          <a:off x="12378055" y="743525310"/>
          <a:ext cx="2060575" cy="2075180"/>
        </a:xfrm>
        <a:prstGeom prst="rect">
          <a:avLst/>
        </a:prstGeom>
        <a:noFill/>
        <a:ln w="9525">
          <a:noFill/>
        </a:ln>
      </xdr:spPr>
    </xdr:pic>
  </etc:cellImage>
  <etc:cellImage>
    <xdr:pic>
      <xdr:nvPicPr>
        <xdr:cNvPr id="416" name="ID_7B1D0046B66B4AA2A3FCE24BC628AB41" descr="韭菜"/>
        <xdr:cNvPicPr>
          <a:picLocks noChangeAspect="1"/>
        </xdr:cNvPicPr>
      </xdr:nvPicPr>
      <xdr:blipFill>
        <a:blip r:embed="rId403"/>
        <a:stretch>
          <a:fillRect/>
        </a:stretch>
      </xdr:blipFill>
      <xdr:spPr>
        <a:xfrm>
          <a:off x="12374245" y="1145108200"/>
          <a:ext cx="2066290" cy="2057400"/>
        </a:xfrm>
        <a:prstGeom prst="rect">
          <a:avLst/>
        </a:prstGeom>
        <a:noFill/>
        <a:ln w="9525">
          <a:noFill/>
        </a:ln>
      </xdr:spPr>
    </xdr:pic>
  </etc:cellImage>
  <etc:cellImage>
    <xdr:pic>
      <xdr:nvPicPr>
        <xdr:cNvPr id="417" name="ID_69F1088FE26141018991A54C4DA7FAF9" descr="二荆条泡椒2kg 泡辣椒红辣椒海椒美人椒泡菜商用四川泡二荆条-阿里巴巴"/>
        <xdr:cNvPicPr>
          <a:picLocks noChangeAspect="1"/>
        </xdr:cNvPicPr>
      </xdr:nvPicPr>
      <xdr:blipFill>
        <a:blip r:embed="rId404"/>
        <a:srcRect t="14641" b="1747"/>
        <a:stretch>
          <a:fillRect/>
        </a:stretch>
      </xdr:blipFill>
      <xdr:spPr>
        <a:xfrm>
          <a:off x="12357735" y="747843310"/>
          <a:ext cx="2101215" cy="2075180"/>
        </a:xfrm>
        <a:prstGeom prst="rect">
          <a:avLst/>
        </a:prstGeom>
        <a:noFill/>
        <a:ln w="9525">
          <a:noFill/>
        </a:ln>
      </xdr:spPr>
    </xdr:pic>
  </etc:cellImage>
  <etc:cellImage>
    <xdr:pic>
      <xdr:nvPicPr>
        <xdr:cNvPr id="418" name="ID_CB0B19C1D4DA4B84B9348B6AE2A5DD2E" descr="眉山泡菜泡姜坛泡老姜老黄姜四川泡椒母水酸姜非仔姜嫩姜糖醋生姜_虎窝淘"/>
        <xdr:cNvPicPr>
          <a:picLocks noChangeAspect="1"/>
        </xdr:cNvPicPr>
      </xdr:nvPicPr>
      <xdr:blipFill>
        <a:blip r:embed="rId405" r:link="rId274"/>
        <a:stretch>
          <a:fillRect/>
        </a:stretch>
      </xdr:blipFill>
      <xdr:spPr>
        <a:xfrm>
          <a:off x="12369165" y="756476135"/>
          <a:ext cx="2078355" cy="2080260"/>
        </a:xfrm>
        <a:prstGeom prst="rect">
          <a:avLst/>
        </a:prstGeom>
        <a:noFill/>
        <a:ln>
          <a:noFill/>
        </a:ln>
      </xdr:spPr>
    </xdr:pic>
  </etc:cellImage>
  <etc:cellImage>
    <xdr:pic>
      <xdr:nvPicPr>
        <xdr:cNvPr id="419" name="ID_B215C71C138C4B92B1868C2DE2060A71" descr="dc392d4134814c4397ebc6ece755b46d.jpg (828×1104)"/>
        <xdr:cNvPicPr>
          <a:picLocks noChangeAspect="1"/>
        </xdr:cNvPicPr>
      </xdr:nvPicPr>
      <xdr:blipFill>
        <a:blip r:embed="rId406"/>
        <a:stretch>
          <a:fillRect/>
        </a:stretch>
      </xdr:blipFill>
      <xdr:spPr>
        <a:xfrm>
          <a:off x="12355195" y="762981710"/>
          <a:ext cx="2106295" cy="2024380"/>
        </a:xfrm>
        <a:prstGeom prst="rect">
          <a:avLst/>
        </a:prstGeom>
        <a:noFill/>
        <a:ln w="9525">
          <a:noFill/>
        </a:ln>
      </xdr:spPr>
    </xdr:pic>
  </etc:cellImage>
  <etc:cellImage>
    <xdr:pic>
      <xdr:nvPicPr>
        <xdr:cNvPr id="420" name="ID_61D93271032D455693AAD61EBF71F71B"/>
        <xdr:cNvPicPr>
          <a:picLocks noChangeAspect="1"/>
        </xdr:cNvPicPr>
      </xdr:nvPicPr>
      <xdr:blipFill>
        <a:blip r:embed="rId407"/>
        <a:stretch>
          <a:fillRect/>
        </a:stretch>
      </xdr:blipFill>
      <xdr:spPr>
        <a:xfrm>
          <a:off x="12367895" y="765301365"/>
          <a:ext cx="2078990" cy="1703070"/>
        </a:xfrm>
        <a:prstGeom prst="rect">
          <a:avLst/>
        </a:prstGeom>
        <a:noFill/>
        <a:ln w="9525">
          <a:noFill/>
        </a:ln>
      </xdr:spPr>
    </xdr:pic>
  </etc:cellImage>
  <etc:cellImage>
    <xdr:pic>
      <xdr:nvPicPr>
        <xdr:cNvPr id="421" name="ID_25E61C4B51694937B58D521D1BD5E380"/>
        <xdr:cNvPicPr>
          <a:picLocks noChangeAspect="1"/>
        </xdr:cNvPicPr>
      </xdr:nvPicPr>
      <xdr:blipFill>
        <a:blip r:embed="rId408"/>
        <a:stretch>
          <a:fillRect/>
        </a:stretch>
      </xdr:blipFill>
      <xdr:spPr>
        <a:xfrm>
          <a:off x="12355195" y="769787640"/>
          <a:ext cx="2106295" cy="1366520"/>
        </a:xfrm>
        <a:prstGeom prst="rect">
          <a:avLst/>
        </a:prstGeom>
        <a:noFill/>
        <a:ln w="9525">
          <a:noFill/>
        </a:ln>
      </xdr:spPr>
    </xdr:pic>
  </etc:cellImage>
  <etc:cellImage>
    <xdr:pic>
      <xdr:nvPicPr>
        <xdr:cNvPr id="422" name="ID_E938BE5A8961493294AFDB5C76990F3D"/>
        <xdr:cNvPicPr>
          <a:picLocks noChangeAspect="1"/>
        </xdr:cNvPicPr>
      </xdr:nvPicPr>
      <xdr:blipFill>
        <a:blip r:embed="rId409"/>
        <a:stretch>
          <a:fillRect/>
        </a:stretch>
      </xdr:blipFill>
      <xdr:spPr>
        <a:xfrm>
          <a:off x="12388850" y="823417200"/>
          <a:ext cx="2037080" cy="2049145"/>
        </a:xfrm>
        <a:prstGeom prst="rect">
          <a:avLst/>
        </a:prstGeom>
        <a:noFill/>
        <a:ln w="9525">
          <a:noFill/>
        </a:ln>
      </xdr:spPr>
    </xdr:pic>
  </etc:cellImage>
  <etc:cellImage>
    <xdr:pic>
      <xdr:nvPicPr>
        <xdr:cNvPr id="423" name="ID_2F87C3BE84E142F39729C98DC93F5D88"/>
        <xdr:cNvPicPr>
          <a:picLocks noChangeAspect="1"/>
        </xdr:cNvPicPr>
      </xdr:nvPicPr>
      <xdr:blipFill>
        <a:blip r:embed="rId410"/>
        <a:srcRect l="4910" t="5835" r="4308" b="18684"/>
        <a:stretch>
          <a:fillRect/>
        </a:stretch>
      </xdr:blipFill>
      <xdr:spPr>
        <a:xfrm>
          <a:off x="12376150" y="773776710"/>
          <a:ext cx="2064385" cy="2024380"/>
        </a:xfrm>
        <a:prstGeom prst="rect">
          <a:avLst/>
        </a:prstGeom>
        <a:noFill/>
        <a:ln w="9525">
          <a:noFill/>
        </a:ln>
      </xdr:spPr>
    </xdr:pic>
  </etc:cellImage>
  <etc:cellImage>
    <xdr:pic>
      <xdr:nvPicPr>
        <xdr:cNvPr id="424" name="ID_53B1173AAF6943A294CFF6A8E00F368F"/>
        <xdr:cNvPicPr>
          <a:picLocks noChangeAspect="1"/>
        </xdr:cNvPicPr>
      </xdr:nvPicPr>
      <xdr:blipFill>
        <a:blip r:embed="rId411"/>
        <a:srcRect l="-589" t="993" r="589" b="60092"/>
        <a:stretch>
          <a:fillRect/>
        </a:stretch>
      </xdr:blipFill>
      <xdr:spPr>
        <a:xfrm>
          <a:off x="12376150" y="775935710"/>
          <a:ext cx="2064385" cy="2015490"/>
        </a:xfrm>
        <a:prstGeom prst="rect">
          <a:avLst/>
        </a:prstGeom>
        <a:noFill/>
        <a:ln w="9525">
          <a:noFill/>
        </a:ln>
      </xdr:spPr>
    </xdr:pic>
  </etc:cellImage>
  <etc:cellImage>
    <xdr:pic>
      <xdr:nvPicPr>
        <xdr:cNvPr id="425" name="ID_22AB57A8917D4BDAB1B9EE19DC27A10A" descr="e3c25dc0058443ee959e417d8ce327a6.jpg (1920×1080)"/>
        <xdr:cNvPicPr>
          <a:picLocks noChangeAspect="1"/>
        </xdr:cNvPicPr>
      </xdr:nvPicPr>
      <xdr:blipFill>
        <a:blip r:embed="rId412"/>
        <a:srcRect l="16910" t="18964" r="38608" b="5206"/>
        <a:stretch>
          <a:fillRect/>
        </a:stretch>
      </xdr:blipFill>
      <xdr:spPr>
        <a:xfrm>
          <a:off x="12378055" y="827726310"/>
          <a:ext cx="2060575" cy="2075180"/>
        </a:xfrm>
        <a:prstGeom prst="rect">
          <a:avLst/>
        </a:prstGeom>
        <a:noFill/>
        <a:ln w="9525">
          <a:noFill/>
        </a:ln>
      </xdr:spPr>
    </xdr:pic>
  </etc:cellImage>
  <etc:cellImage>
    <xdr:pic>
      <xdr:nvPicPr>
        <xdr:cNvPr id="426" name="ID_C56DD419CC774EFEB7C49567F2946E97"/>
        <xdr:cNvPicPr>
          <a:picLocks noChangeAspect="1"/>
        </xdr:cNvPicPr>
      </xdr:nvPicPr>
      <xdr:blipFill>
        <a:blip r:embed="rId413"/>
        <a:srcRect t="15245" b="7724"/>
        <a:stretch>
          <a:fillRect/>
        </a:stretch>
      </xdr:blipFill>
      <xdr:spPr>
        <a:xfrm>
          <a:off x="12374245" y="929174545"/>
          <a:ext cx="2068195" cy="2124710"/>
        </a:xfrm>
        <a:prstGeom prst="rect">
          <a:avLst/>
        </a:prstGeom>
        <a:noFill/>
        <a:ln w="9525">
          <a:noFill/>
        </a:ln>
      </xdr:spPr>
    </xdr:pic>
  </etc:cellImage>
  <etc:cellImage>
    <xdr:pic>
      <xdr:nvPicPr>
        <xdr:cNvPr id="427" name="ID_B2AE4068A7674D36BCF2B2D8059B208E"/>
        <xdr:cNvPicPr>
          <a:picLocks noChangeAspect="1"/>
        </xdr:cNvPicPr>
      </xdr:nvPicPr>
      <xdr:blipFill>
        <a:blip r:embed="rId414"/>
        <a:srcRect b="29248"/>
        <a:stretch>
          <a:fillRect/>
        </a:stretch>
      </xdr:blipFill>
      <xdr:spPr>
        <a:xfrm>
          <a:off x="12384405" y="778086455"/>
          <a:ext cx="2047875" cy="2032635"/>
        </a:xfrm>
        <a:prstGeom prst="rect">
          <a:avLst/>
        </a:prstGeom>
        <a:noFill/>
        <a:ln w="9525">
          <a:noFill/>
        </a:ln>
      </xdr:spPr>
    </xdr:pic>
  </etc:cellImage>
  <etc:cellImage>
    <xdr:pic>
      <xdr:nvPicPr>
        <xdr:cNvPr id="428" name="ID_D97FD82C939C40FCB8964DDF903FA834" descr="t01e82c12c489a1e886"/>
        <xdr:cNvPicPr>
          <a:picLocks noChangeAspect="1"/>
        </xdr:cNvPicPr>
      </xdr:nvPicPr>
      <xdr:blipFill>
        <a:blip r:embed="rId415"/>
        <a:stretch>
          <a:fillRect/>
        </a:stretch>
      </xdr:blipFill>
      <xdr:spPr>
        <a:xfrm>
          <a:off x="12359640" y="877847495"/>
          <a:ext cx="2095500" cy="1146810"/>
        </a:xfrm>
        <a:prstGeom prst="rect">
          <a:avLst/>
        </a:prstGeom>
        <a:noFill/>
        <a:ln w="9525">
          <a:noFill/>
        </a:ln>
      </xdr:spPr>
    </xdr:pic>
  </etc:cellImage>
  <etc:cellImage>
    <xdr:pic>
      <xdr:nvPicPr>
        <xdr:cNvPr id="429" name="ID_A0C1C11340D645698B71A198933D143B"/>
        <xdr:cNvPicPr>
          <a:picLocks noChangeAspect="1"/>
        </xdr:cNvPicPr>
      </xdr:nvPicPr>
      <xdr:blipFill>
        <a:blip r:embed="rId416"/>
        <a:stretch>
          <a:fillRect/>
        </a:stretch>
      </xdr:blipFill>
      <xdr:spPr>
        <a:xfrm>
          <a:off x="12386310" y="780245455"/>
          <a:ext cx="2043430" cy="2040890"/>
        </a:xfrm>
        <a:prstGeom prst="rect">
          <a:avLst/>
        </a:prstGeom>
        <a:noFill/>
        <a:ln w="9525">
          <a:noFill/>
        </a:ln>
      </xdr:spPr>
    </xdr:pic>
  </etc:cellImage>
  <etc:cellImage>
    <xdr:pic>
      <xdr:nvPicPr>
        <xdr:cNvPr id="430" name="ID_D6CF3B3B130D43F0BA3CB2A78227E1E6" descr="t04fa7dfa20e463bb96"/>
        <xdr:cNvPicPr>
          <a:picLocks noChangeAspect="1"/>
        </xdr:cNvPicPr>
      </xdr:nvPicPr>
      <xdr:blipFill>
        <a:blip r:embed="rId417"/>
        <a:stretch>
          <a:fillRect/>
        </a:stretch>
      </xdr:blipFill>
      <xdr:spPr>
        <a:xfrm>
          <a:off x="12613640" y="991785545"/>
          <a:ext cx="1589405" cy="2124710"/>
        </a:xfrm>
        <a:prstGeom prst="rect">
          <a:avLst/>
        </a:prstGeom>
        <a:noFill/>
        <a:ln w="9525">
          <a:noFill/>
        </a:ln>
      </xdr:spPr>
    </xdr:pic>
  </etc:cellImage>
  <etc:cellImage>
    <xdr:pic>
      <xdr:nvPicPr>
        <xdr:cNvPr id="431" name="ID_0D97441B78E349A39E7C3013E5F2D41F"/>
        <xdr:cNvPicPr>
          <a:picLocks noChangeAspect="1"/>
        </xdr:cNvPicPr>
      </xdr:nvPicPr>
      <xdr:blipFill>
        <a:blip r:embed="rId418"/>
        <a:stretch>
          <a:fillRect/>
        </a:stretch>
      </xdr:blipFill>
      <xdr:spPr>
        <a:xfrm>
          <a:off x="12397105" y="784563455"/>
          <a:ext cx="2020570" cy="2040890"/>
        </a:xfrm>
        <a:prstGeom prst="rect">
          <a:avLst/>
        </a:prstGeom>
        <a:noFill/>
        <a:ln w="9525">
          <a:noFill/>
        </a:ln>
      </xdr:spPr>
    </xdr:pic>
  </etc:cellImage>
  <etc:cellImage>
    <xdr:pic>
      <xdr:nvPicPr>
        <xdr:cNvPr id="432" name="ID_EDF7B60053DF4B8FA2876F5D0DCB3FB3"/>
        <xdr:cNvPicPr>
          <a:picLocks noChangeAspect="1"/>
        </xdr:cNvPicPr>
      </xdr:nvPicPr>
      <xdr:blipFill>
        <a:blip r:embed="rId419"/>
        <a:srcRect l="16927"/>
        <a:stretch>
          <a:fillRect/>
        </a:stretch>
      </xdr:blipFill>
      <xdr:spPr>
        <a:xfrm>
          <a:off x="12386310" y="883877455"/>
          <a:ext cx="2043430" cy="2040890"/>
        </a:xfrm>
        <a:prstGeom prst="rect">
          <a:avLst/>
        </a:prstGeom>
        <a:noFill/>
        <a:ln w="9525">
          <a:noFill/>
        </a:ln>
      </xdr:spPr>
    </xdr:pic>
  </etc:cellImage>
  <etc:cellImage>
    <xdr:pic>
      <xdr:nvPicPr>
        <xdr:cNvPr id="433" name="ID_D04B7D8EF33A46818E4A4E275E2A3AF6" descr="t04bf24e8a952451516"/>
        <xdr:cNvPicPr>
          <a:picLocks noChangeAspect="1"/>
        </xdr:cNvPicPr>
      </xdr:nvPicPr>
      <xdr:blipFill>
        <a:blip r:embed="rId420"/>
        <a:stretch>
          <a:fillRect/>
        </a:stretch>
      </xdr:blipFill>
      <xdr:spPr>
        <a:xfrm>
          <a:off x="12742545" y="786680545"/>
          <a:ext cx="1329055" cy="2124710"/>
        </a:xfrm>
        <a:prstGeom prst="rect">
          <a:avLst/>
        </a:prstGeom>
        <a:noFill/>
        <a:ln w="9525">
          <a:noFill/>
        </a:ln>
      </xdr:spPr>
    </xdr:pic>
  </etc:cellImage>
  <etc:cellImage>
    <xdr:pic>
      <xdr:nvPicPr>
        <xdr:cNvPr id="434" name="ID_FAC816EDE3124E01936C62EFE8E6C340" descr="f8da834b34bc47cfa1285036750e4c45.jpg (1920×1080)"/>
        <xdr:cNvPicPr>
          <a:picLocks noChangeAspect="1"/>
        </xdr:cNvPicPr>
      </xdr:nvPicPr>
      <xdr:blipFill>
        <a:blip r:embed="rId421"/>
        <a:srcRect r="25812"/>
        <a:stretch>
          <a:fillRect/>
        </a:stretch>
      </xdr:blipFill>
      <xdr:spPr>
        <a:xfrm rot="-5400000">
          <a:off x="12395200" y="886023755"/>
          <a:ext cx="2024380" cy="2066290"/>
        </a:xfrm>
        <a:prstGeom prst="rect">
          <a:avLst/>
        </a:prstGeom>
        <a:noFill/>
        <a:ln w="9525">
          <a:noFill/>
        </a:ln>
      </xdr:spPr>
    </xdr:pic>
  </etc:cellImage>
  <etc:cellImage>
    <xdr:pic>
      <xdr:nvPicPr>
        <xdr:cNvPr id="435" name="ID_B006CAC18754469AAAED0C6841DF5910"/>
        <xdr:cNvPicPr>
          <a:picLocks noChangeAspect="1"/>
        </xdr:cNvPicPr>
      </xdr:nvPicPr>
      <xdr:blipFill>
        <a:blip r:embed="rId422"/>
        <a:stretch>
          <a:fillRect/>
        </a:stretch>
      </xdr:blipFill>
      <xdr:spPr>
        <a:xfrm>
          <a:off x="12369800" y="836362310"/>
          <a:ext cx="2077085" cy="2075180"/>
        </a:xfrm>
        <a:prstGeom prst="rect">
          <a:avLst/>
        </a:prstGeom>
        <a:noFill/>
        <a:ln w="9525">
          <a:noFill/>
        </a:ln>
      </xdr:spPr>
    </xdr:pic>
  </etc:cellImage>
  <etc:cellImage>
    <xdr:pic>
      <xdr:nvPicPr>
        <xdr:cNvPr id="436" name="ID_53FC8E47D8564A53A351217BF36C2CDE"/>
        <xdr:cNvPicPr>
          <a:picLocks noChangeAspect="1"/>
        </xdr:cNvPicPr>
      </xdr:nvPicPr>
      <xdr:blipFill>
        <a:blip r:embed="rId423"/>
        <a:stretch>
          <a:fillRect/>
        </a:stretch>
      </xdr:blipFill>
      <xdr:spPr>
        <a:xfrm>
          <a:off x="12376150" y="793182310"/>
          <a:ext cx="2064385" cy="2066290"/>
        </a:xfrm>
        <a:prstGeom prst="rect">
          <a:avLst/>
        </a:prstGeom>
        <a:noFill/>
        <a:ln w="9525">
          <a:noFill/>
        </a:ln>
      </xdr:spPr>
    </xdr:pic>
  </etc:cellImage>
  <etc:cellImage>
    <xdr:pic>
      <xdr:nvPicPr>
        <xdr:cNvPr id="437" name="ID_334200BF7022463C8C4D40D881E254CF" descr="64e11f537d234c9e80d46814c3cb11e2.jpg (1080×1920)"/>
        <xdr:cNvPicPr>
          <a:picLocks noChangeAspect="1"/>
        </xdr:cNvPicPr>
      </xdr:nvPicPr>
      <xdr:blipFill>
        <a:blip r:embed="rId424"/>
        <a:srcRect t="22704" r="9953" b="18767"/>
        <a:stretch>
          <a:fillRect/>
        </a:stretch>
      </xdr:blipFill>
      <xdr:spPr>
        <a:xfrm>
          <a:off x="12357735" y="892488055"/>
          <a:ext cx="2101215" cy="2091690"/>
        </a:xfrm>
        <a:prstGeom prst="rect">
          <a:avLst/>
        </a:prstGeom>
        <a:noFill/>
        <a:ln w="9525">
          <a:noFill/>
        </a:ln>
      </xdr:spPr>
    </xdr:pic>
  </etc:cellImage>
  <etc:cellImage>
    <xdr:pic>
      <xdr:nvPicPr>
        <xdr:cNvPr id="438" name="ID_D23E5F4664A5480499F1B6B080FD9FFA"/>
        <xdr:cNvPicPr>
          <a:picLocks noChangeAspect="1"/>
        </xdr:cNvPicPr>
      </xdr:nvPicPr>
      <xdr:blipFill>
        <a:blip r:embed="rId425"/>
        <a:stretch>
          <a:fillRect/>
        </a:stretch>
      </xdr:blipFill>
      <xdr:spPr>
        <a:xfrm>
          <a:off x="12367895" y="844990055"/>
          <a:ext cx="2080895" cy="2083435"/>
        </a:xfrm>
        <a:prstGeom prst="rect">
          <a:avLst/>
        </a:prstGeom>
        <a:noFill/>
        <a:ln w="9525">
          <a:noFill/>
        </a:ln>
      </xdr:spPr>
    </xdr:pic>
  </etc:cellImage>
  <etc:cellImage>
    <xdr:pic>
      <xdr:nvPicPr>
        <xdr:cNvPr id="439" name="ID_F5BACF2B8BF249E08D2E36A998B279F4"/>
        <xdr:cNvPicPr>
          <a:picLocks noChangeAspect="1"/>
        </xdr:cNvPicPr>
      </xdr:nvPicPr>
      <xdr:blipFill>
        <a:blip r:embed="rId426"/>
        <a:stretch>
          <a:fillRect/>
        </a:stretch>
      </xdr:blipFill>
      <xdr:spPr>
        <a:xfrm>
          <a:off x="12384405" y="795333055"/>
          <a:ext cx="2047875" cy="2091690"/>
        </a:xfrm>
        <a:prstGeom prst="rect">
          <a:avLst/>
        </a:prstGeom>
        <a:noFill/>
        <a:ln w="9525">
          <a:noFill/>
        </a:ln>
      </xdr:spPr>
    </xdr:pic>
  </etc:cellImage>
  <etc:cellImage>
    <xdr:pic>
      <xdr:nvPicPr>
        <xdr:cNvPr id="440" name="ID_27F2524A9084450DB5F1C76D64A8A03E"/>
        <xdr:cNvPicPr>
          <a:picLocks noChangeAspect="1"/>
        </xdr:cNvPicPr>
      </xdr:nvPicPr>
      <xdr:blipFill>
        <a:blip r:embed="rId427"/>
        <a:stretch>
          <a:fillRect/>
        </a:stretch>
      </xdr:blipFill>
      <xdr:spPr>
        <a:xfrm>
          <a:off x="12395200" y="1006940455"/>
          <a:ext cx="2028825" cy="2032635"/>
        </a:xfrm>
        <a:prstGeom prst="rect">
          <a:avLst/>
        </a:prstGeom>
        <a:noFill/>
        <a:ln w="9525">
          <a:noFill/>
        </a:ln>
      </xdr:spPr>
    </xdr:pic>
  </etc:cellImage>
  <etc:cellImage>
    <xdr:pic>
      <xdr:nvPicPr>
        <xdr:cNvPr id="441" name="ID_976CD6FCA1C64082BF777A77990FC918" descr="t0196655365c5545795"/>
        <xdr:cNvPicPr>
          <a:picLocks noChangeAspect="1"/>
        </xdr:cNvPicPr>
      </xdr:nvPicPr>
      <xdr:blipFill>
        <a:blip r:embed="rId428"/>
        <a:stretch>
          <a:fillRect/>
        </a:stretch>
      </xdr:blipFill>
      <xdr:spPr>
        <a:xfrm>
          <a:off x="12359640" y="797753675"/>
          <a:ext cx="2095500" cy="1568450"/>
        </a:xfrm>
        <a:prstGeom prst="rect">
          <a:avLst/>
        </a:prstGeom>
        <a:noFill/>
        <a:ln w="9525">
          <a:noFill/>
        </a:ln>
      </xdr:spPr>
    </xdr:pic>
  </etc:cellImage>
  <etc:cellImage>
    <xdr:pic>
      <xdr:nvPicPr>
        <xdr:cNvPr id="442" name="ID_2E8571F2ED204C368A0D541B37076953" descr="嫩豆腐"/>
        <xdr:cNvPicPr>
          <a:picLocks noChangeAspect="1"/>
        </xdr:cNvPicPr>
      </xdr:nvPicPr>
      <xdr:blipFill>
        <a:blip r:embed="rId429"/>
        <a:stretch>
          <a:fillRect/>
        </a:stretch>
      </xdr:blipFill>
      <xdr:spPr>
        <a:xfrm>
          <a:off x="12376150" y="849316310"/>
          <a:ext cx="2062480" cy="2075180"/>
        </a:xfrm>
        <a:prstGeom prst="rect">
          <a:avLst/>
        </a:prstGeom>
        <a:noFill/>
        <a:ln w="9525">
          <a:noFill/>
        </a:ln>
      </xdr:spPr>
    </xdr:pic>
  </etc:cellImage>
  <etc:cellImage>
    <xdr:pic>
      <xdr:nvPicPr>
        <xdr:cNvPr id="443" name="ID_70A5E800178048B6A880E9B093628A58" descr="t046c37e403b119101c"/>
        <xdr:cNvPicPr>
          <a:picLocks noChangeAspect="1"/>
        </xdr:cNvPicPr>
      </xdr:nvPicPr>
      <xdr:blipFill>
        <a:blip r:embed="rId430"/>
        <a:stretch>
          <a:fillRect/>
        </a:stretch>
      </xdr:blipFill>
      <xdr:spPr>
        <a:xfrm>
          <a:off x="12355195" y="799642800"/>
          <a:ext cx="2106295" cy="2108200"/>
        </a:xfrm>
        <a:prstGeom prst="rect">
          <a:avLst/>
        </a:prstGeom>
        <a:noFill/>
        <a:ln w="9525">
          <a:noFill/>
        </a:ln>
      </xdr:spPr>
    </xdr:pic>
  </etc:cellImage>
  <etc:cellImage>
    <xdr:pic>
      <xdr:nvPicPr>
        <xdr:cNvPr id="444" name="ID_F52A429CBA9F4068B2923A364C6637A4"/>
        <xdr:cNvPicPr>
          <a:picLocks noChangeAspect="1"/>
        </xdr:cNvPicPr>
      </xdr:nvPicPr>
      <xdr:blipFill>
        <a:blip r:embed="rId431"/>
        <a:stretch>
          <a:fillRect/>
        </a:stretch>
      </xdr:blipFill>
      <xdr:spPr>
        <a:xfrm>
          <a:off x="12405360" y="801843710"/>
          <a:ext cx="2004060" cy="2015490"/>
        </a:xfrm>
        <a:prstGeom prst="rect">
          <a:avLst/>
        </a:prstGeom>
        <a:noFill/>
        <a:ln w="9525">
          <a:noFill/>
        </a:ln>
      </xdr:spPr>
    </xdr:pic>
  </etc:cellImage>
  <etc:cellImage>
    <xdr:pic>
      <xdr:nvPicPr>
        <xdr:cNvPr id="445" name="ID_62388B363D4F47CB8508B1BAF62BFE97" descr="干青花椒"/>
        <xdr:cNvPicPr>
          <a:picLocks noChangeAspect="1"/>
        </xdr:cNvPicPr>
      </xdr:nvPicPr>
      <xdr:blipFill>
        <a:blip r:embed="rId432"/>
        <a:stretch>
          <a:fillRect/>
        </a:stretch>
      </xdr:blipFill>
      <xdr:spPr>
        <a:xfrm>
          <a:off x="12378055" y="806145200"/>
          <a:ext cx="2060575" cy="2057400"/>
        </a:xfrm>
        <a:prstGeom prst="rect">
          <a:avLst/>
        </a:prstGeom>
        <a:noFill/>
        <a:ln w="9525">
          <a:noFill/>
        </a:ln>
      </xdr:spPr>
    </xdr:pic>
  </etc:cellImage>
  <etc:cellImage>
    <xdr:pic>
      <xdr:nvPicPr>
        <xdr:cNvPr id="446" name="ID_30774673DFC34966B02E1F7D39D035B1" descr="油豆腐"/>
        <xdr:cNvPicPr>
          <a:picLocks noChangeAspect="1"/>
        </xdr:cNvPicPr>
      </xdr:nvPicPr>
      <xdr:blipFill>
        <a:blip r:embed="rId433"/>
        <a:stretch>
          <a:fillRect/>
        </a:stretch>
      </xdr:blipFill>
      <xdr:spPr>
        <a:xfrm>
          <a:off x="12365990" y="857961200"/>
          <a:ext cx="2084705" cy="2057400"/>
        </a:xfrm>
        <a:prstGeom prst="rect">
          <a:avLst/>
        </a:prstGeom>
        <a:noFill/>
        <a:ln w="9525">
          <a:noFill/>
        </a:ln>
      </xdr:spPr>
    </xdr:pic>
  </etc:cellImage>
  <etc:cellImage>
    <xdr:pic>
      <xdr:nvPicPr>
        <xdr:cNvPr id="447" name="ID_18BD0CE75E3348F5BA8FABB6386D9CAB"/>
        <xdr:cNvPicPr>
          <a:picLocks noChangeAspect="1"/>
        </xdr:cNvPicPr>
      </xdr:nvPicPr>
      <xdr:blipFill>
        <a:blip r:embed="rId434"/>
        <a:stretch>
          <a:fillRect/>
        </a:stretch>
      </xdr:blipFill>
      <xdr:spPr>
        <a:xfrm>
          <a:off x="12409805" y="808295310"/>
          <a:ext cx="1997075" cy="2075180"/>
        </a:xfrm>
        <a:prstGeom prst="rect">
          <a:avLst/>
        </a:prstGeom>
        <a:noFill/>
        <a:ln w="9525">
          <a:noFill/>
        </a:ln>
      </xdr:spPr>
    </xdr:pic>
  </etc:cellImage>
  <etc:cellImage>
    <xdr:pic>
      <xdr:nvPicPr>
        <xdr:cNvPr id="448" name="ID_3A1860EBC0F447CBA6140AD723EC1530"/>
        <xdr:cNvPicPr>
          <a:picLocks noChangeAspect="1"/>
        </xdr:cNvPicPr>
      </xdr:nvPicPr>
      <xdr:blipFill>
        <a:blip r:embed="rId435"/>
        <a:stretch>
          <a:fillRect/>
        </a:stretch>
      </xdr:blipFill>
      <xdr:spPr>
        <a:xfrm>
          <a:off x="12407265" y="810496855"/>
          <a:ext cx="2002155" cy="1981835"/>
        </a:xfrm>
        <a:prstGeom prst="rect">
          <a:avLst/>
        </a:prstGeom>
        <a:noFill/>
        <a:ln w="9525">
          <a:noFill/>
        </a:ln>
      </xdr:spPr>
    </xdr:pic>
  </etc:cellImage>
  <etc:cellImage>
    <xdr:pic>
      <xdr:nvPicPr>
        <xdr:cNvPr id="449" name="ID_C2F0B1E26BD5417D9E53061429EFDF54" descr="抄手皮"/>
        <xdr:cNvPicPr>
          <a:picLocks noChangeAspect="1"/>
        </xdr:cNvPicPr>
      </xdr:nvPicPr>
      <xdr:blipFill>
        <a:blip r:embed="rId436"/>
        <a:stretch>
          <a:fillRect/>
        </a:stretch>
      </xdr:blipFill>
      <xdr:spPr>
        <a:xfrm>
          <a:off x="12380595" y="862287455"/>
          <a:ext cx="2055495" cy="2040890"/>
        </a:xfrm>
        <a:prstGeom prst="rect">
          <a:avLst/>
        </a:prstGeom>
        <a:noFill/>
        <a:ln w="9525">
          <a:noFill/>
        </a:ln>
      </xdr:spPr>
    </xdr:pic>
  </etc:cellImage>
  <etc:cellImage>
    <xdr:pic>
      <xdr:nvPicPr>
        <xdr:cNvPr id="450" name="ID_95FCAB364329497BA140A293972F25A3" descr="黄秧白"/>
        <xdr:cNvPicPr>
          <a:picLocks noChangeAspect="1"/>
        </xdr:cNvPicPr>
      </xdr:nvPicPr>
      <xdr:blipFill>
        <a:blip r:embed="rId437"/>
        <a:stretch>
          <a:fillRect/>
        </a:stretch>
      </xdr:blipFill>
      <xdr:spPr>
        <a:xfrm>
          <a:off x="12392660" y="963752200"/>
          <a:ext cx="2031365" cy="2049145"/>
        </a:xfrm>
        <a:prstGeom prst="rect">
          <a:avLst/>
        </a:prstGeom>
        <a:noFill/>
        <a:ln w="9525">
          <a:noFill/>
        </a:ln>
      </xdr:spPr>
    </xdr:pic>
  </etc:cellImage>
  <etc:cellImage>
    <xdr:pic>
      <xdr:nvPicPr>
        <xdr:cNvPr id="451" name="ID_27A40F87AF9D46098BEDEFD2BAB5F137" descr="d46d6256d7194c1d8d89a48987d04d94.jpg (1920×1080)"/>
        <xdr:cNvPicPr>
          <a:picLocks noChangeAspect="1"/>
        </xdr:cNvPicPr>
      </xdr:nvPicPr>
      <xdr:blipFill>
        <a:blip r:embed="rId438"/>
        <a:srcRect l="16159" t="23293" r="11848"/>
        <a:stretch>
          <a:fillRect/>
        </a:stretch>
      </xdr:blipFill>
      <xdr:spPr>
        <a:xfrm>
          <a:off x="12371705" y="812638710"/>
          <a:ext cx="2072640" cy="2015490"/>
        </a:xfrm>
        <a:prstGeom prst="rect">
          <a:avLst/>
        </a:prstGeom>
        <a:noFill/>
        <a:ln w="9525">
          <a:noFill/>
        </a:ln>
      </xdr:spPr>
    </xdr:pic>
  </etc:cellImage>
  <etc:cellImage>
    <xdr:pic>
      <xdr:nvPicPr>
        <xdr:cNvPr id="452" name="ID_EF46C9D5AA6247CAA07AC85494E49B71" descr="tb_image_share_1761722902068.jpg"/>
        <xdr:cNvPicPr>
          <a:picLocks noChangeAspect="1"/>
        </xdr:cNvPicPr>
      </xdr:nvPicPr>
      <xdr:blipFill>
        <a:blip r:embed="rId439"/>
        <a:srcRect l="7947" t="7582" r="9535" b="34068"/>
        <a:stretch>
          <a:fillRect/>
        </a:stretch>
      </xdr:blipFill>
      <xdr:spPr>
        <a:xfrm>
          <a:off x="12419965" y="914078055"/>
          <a:ext cx="1976755" cy="2091690"/>
        </a:xfrm>
        <a:prstGeom prst="rect">
          <a:avLst/>
        </a:prstGeom>
        <a:noFill/>
        <a:ln w="9525">
          <a:noFill/>
        </a:ln>
      </xdr:spPr>
    </xdr:pic>
  </etc:cellImage>
  <etc:cellImage>
    <xdr:pic>
      <xdr:nvPicPr>
        <xdr:cNvPr id="453" name="ID_9E45FACD003A44AD84B6388CF34616F2"/>
        <xdr:cNvPicPr>
          <a:picLocks noChangeAspect="1"/>
        </xdr:cNvPicPr>
      </xdr:nvPicPr>
      <xdr:blipFill>
        <a:blip r:embed="rId440"/>
        <a:stretch>
          <a:fillRect/>
        </a:stretch>
      </xdr:blipFill>
      <xdr:spPr>
        <a:xfrm>
          <a:off x="12436475" y="814823110"/>
          <a:ext cx="1943735" cy="1965325"/>
        </a:xfrm>
        <a:prstGeom prst="rect">
          <a:avLst/>
        </a:prstGeom>
        <a:noFill/>
        <a:ln w="9525">
          <a:noFill/>
        </a:ln>
      </xdr:spPr>
    </xdr:pic>
  </etc:cellImage>
  <etc:cellImage>
    <xdr:pic>
      <xdr:nvPicPr>
        <xdr:cNvPr id="454" name="ID_FEB171A0E87E416AA70084F9D6A4617D"/>
        <xdr:cNvPicPr>
          <a:picLocks noChangeAspect="1"/>
        </xdr:cNvPicPr>
      </xdr:nvPicPr>
      <xdr:blipFill>
        <a:blip r:embed="rId441"/>
        <a:srcRect l="4688"/>
        <a:stretch>
          <a:fillRect/>
        </a:stretch>
      </xdr:blipFill>
      <xdr:spPr>
        <a:xfrm>
          <a:off x="12413615" y="816965600"/>
          <a:ext cx="1989455" cy="1998345"/>
        </a:xfrm>
        <a:prstGeom prst="rect">
          <a:avLst/>
        </a:prstGeom>
        <a:noFill/>
        <a:ln w="9525">
          <a:noFill/>
        </a:ln>
      </xdr:spPr>
    </xdr:pic>
  </etc:cellImage>
  <etc:cellImage>
    <xdr:pic>
      <xdr:nvPicPr>
        <xdr:cNvPr id="455" name="ID_BFA87998717F41C6A6BD73C0113C1A22"/>
        <xdr:cNvPicPr>
          <a:picLocks noChangeAspect="1"/>
        </xdr:cNvPicPr>
      </xdr:nvPicPr>
      <xdr:blipFill>
        <a:blip r:embed="rId442"/>
        <a:stretch>
          <a:fillRect/>
        </a:stretch>
      </xdr:blipFill>
      <xdr:spPr>
        <a:xfrm>
          <a:off x="12355195" y="1030874875"/>
          <a:ext cx="2106295" cy="1670050"/>
        </a:xfrm>
        <a:prstGeom prst="rect">
          <a:avLst/>
        </a:prstGeom>
        <a:noFill/>
        <a:ln w="9525">
          <a:noFill/>
        </a:ln>
      </xdr:spPr>
    </xdr:pic>
  </etc:cellImage>
  <etc:cellImage>
    <xdr:pic>
      <xdr:nvPicPr>
        <xdr:cNvPr id="456" name="ID_61CDD93D85D2402781CC0838D1D97A7B"/>
        <xdr:cNvPicPr>
          <a:picLocks noChangeAspect="1"/>
        </xdr:cNvPicPr>
      </xdr:nvPicPr>
      <xdr:blipFill>
        <a:blip r:embed="rId443"/>
        <a:stretch>
          <a:fillRect/>
        </a:stretch>
      </xdr:blipFill>
      <xdr:spPr>
        <a:xfrm>
          <a:off x="12638405" y="819065545"/>
          <a:ext cx="1539240" cy="2124710"/>
        </a:xfrm>
        <a:prstGeom prst="rect">
          <a:avLst/>
        </a:prstGeom>
        <a:noFill/>
        <a:ln w="9525">
          <a:noFill/>
        </a:ln>
      </xdr:spPr>
    </xdr:pic>
  </etc:cellImage>
  <etc:cellImage>
    <xdr:pic>
      <xdr:nvPicPr>
        <xdr:cNvPr id="457" name="ID_A2C570E5376042E7BA9A854B0ABDAE15"/>
        <xdr:cNvPicPr>
          <a:picLocks noChangeAspect="1"/>
        </xdr:cNvPicPr>
      </xdr:nvPicPr>
      <xdr:blipFill>
        <a:blip r:embed="rId444"/>
        <a:srcRect l="9171" t="17404" r="7944" b="47069"/>
        <a:stretch>
          <a:fillRect/>
        </a:stretch>
      </xdr:blipFill>
      <xdr:spPr>
        <a:xfrm>
          <a:off x="12355195" y="920664910"/>
          <a:ext cx="2106295" cy="1871980"/>
        </a:xfrm>
        <a:prstGeom prst="rect">
          <a:avLst/>
        </a:prstGeom>
        <a:noFill/>
        <a:ln w="9525">
          <a:noFill/>
        </a:ln>
      </xdr:spPr>
    </xdr:pic>
  </etc:cellImage>
  <etc:cellImage>
    <xdr:pic>
      <xdr:nvPicPr>
        <xdr:cNvPr id="458" name="ID_BF2B85AEEB864F8F80F2D8E04797BC24" descr="天地瓜（西葫芦）"/>
        <xdr:cNvPicPr>
          <a:picLocks noChangeAspect="1"/>
        </xdr:cNvPicPr>
      </xdr:nvPicPr>
      <xdr:blipFill>
        <a:blip r:embed="rId445"/>
        <a:stretch>
          <a:fillRect/>
        </a:stretch>
      </xdr:blipFill>
      <xdr:spPr>
        <a:xfrm>
          <a:off x="12355195" y="1043635200"/>
          <a:ext cx="2106295" cy="2057400"/>
        </a:xfrm>
        <a:prstGeom prst="rect">
          <a:avLst/>
        </a:prstGeom>
        <a:noFill/>
        <a:ln w="9525">
          <a:noFill/>
        </a:ln>
      </xdr:spPr>
    </xdr:pic>
  </etc:cellImage>
  <etc:cellImage>
    <xdr:pic>
      <xdr:nvPicPr>
        <xdr:cNvPr id="459" name="ID_964DBE34969D4D58B674E8DC77B1FF96"/>
        <xdr:cNvPicPr>
          <a:picLocks noChangeAspect="1"/>
        </xdr:cNvPicPr>
      </xdr:nvPicPr>
      <xdr:blipFill>
        <a:blip r:embed="rId446"/>
        <a:stretch>
          <a:fillRect/>
        </a:stretch>
      </xdr:blipFill>
      <xdr:spPr>
        <a:xfrm>
          <a:off x="12365990" y="832036055"/>
          <a:ext cx="2082800" cy="2083435"/>
        </a:xfrm>
        <a:prstGeom prst="rect">
          <a:avLst/>
        </a:prstGeom>
        <a:noFill/>
        <a:ln w="9525">
          <a:noFill/>
        </a:ln>
      </xdr:spPr>
    </xdr:pic>
  </etc:cellImage>
  <etc:cellImage>
    <xdr:pic>
      <xdr:nvPicPr>
        <xdr:cNvPr id="460" name="ID_7FDF907AFA1E48D89C5565EBEB5B8D02" descr="t01753ae2cca9ef114a"/>
        <xdr:cNvPicPr>
          <a:picLocks noChangeAspect="1"/>
        </xdr:cNvPicPr>
      </xdr:nvPicPr>
      <xdr:blipFill>
        <a:blip r:embed="rId447"/>
        <a:stretch>
          <a:fillRect/>
        </a:stretch>
      </xdr:blipFill>
      <xdr:spPr>
        <a:xfrm>
          <a:off x="12811760" y="989930075"/>
          <a:ext cx="1078865" cy="1442085"/>
        </a:xfrm>
        <a:prstGeom prst="rect">
          <a:avLst/>
        </a:prstGeom>
        <a:noFill/>
        <a:ln w="9525">
          <a:noFill/>
        </a:ln>
      </xdr:spPr>
    </xdr:pic>
  </etc:cellImage>
  <etc:cellImage>
    <xdr:pic>
      <xdr:nvPicPr>
        <xdr:cNvPr id="461" name="ID_A72CB40E705144B9B8E55E3914910CBC"/>
        <xdr:cNvPicPr>
          <a:picLocks noChangeAspect="1"/>
        </xdr:cNvPicPr>
      </xdr:nvPicPr>
      <xdr:blipFill>
        <a:blip r:embed="rId448"/>
        <a:srcRect l="6987" t="481" r="5968" b="28590"/>
        <a:stretch>
          <a:fillRect/>
        </a:stretch>
      </xdr:blipFill>
      <xdr:spPr>
        <a:xfrm>
          <a:off x="12365990" y="838530200"/>
          <a:ext cx="2084705" cy="2057400"/>
        </a:xfrm>
        <a:prstGeom prst="rect">
          <a:avLst/>
        </a:prstGeom>
        <a:noFill/>
        <a:ln w="9525">
          <a:noFill/>
        </a:ln>
      </xdr:spPr>
    </xdr:pic>
  </etc:cellImage>
  <etc:cellImage>
    <xdr:pic>
      <xdr:nvPicPr>
        <xdr:cNvPr id="462" name="ID_168EB1D71CE64A4BBA5F1CD8BBDF7C38"/>
        <xdr:cNvPicPr>
          <a:picLocks noChangeAspect="1"/>
        </xdr:cNvPicPr>
      </xdr:nvPicPr>
      <xdr:blipFill>
        <a:blip r:embed="rId449"/>
        <a:stretch>
          <a:fillRect/>
        </a:stretch>
      </xdr:blipFill>
      <xdr:spPr>
        <a:xfrm>
          <a:off x="12369800" y="842848200"/>
          <a:ext cx="2077085" cy="2057400"/>
        </a:xfrm>
        <a:prstGeom prst="rect">
          <a:avLst/>
        </a:prstGeom>
        <a:noFill/>
        <a:ln w="9525">
          <a:noFill/>
        </a:ln>
      </xdr:spPr>
    </xdr:pic>
  </etc:cellImage>
  <etc:cellImage>
    <xdr:pic>
      <xdr:nvPicPr>
        <xdr:cNvPr id="463" name="ID_175C91BF622F43A69C19891DDDD7ACB7" descr="老豆腐"/>
        <xdr:cNvPicPr>
          <a:picLocks noChangeAspect="1"/>
        </xdr:cNvPicPr>
      </xdr:nvPicPr>
      <xdr:blipFill>
        <a:blip r:embed="rId450"/>
        <a:stretch>
          <a:fillRect/>
        </a:stretch>
      </xdr:blipFill>
      <xdr:spPr>
        <a:xfrm>
          <a:off x="12363450" y="847182710"/>
          <a:ext cx="2089150" cy="2024380"/>
        </a:xfrm>
        <a:prstGeom prst="rect">
          <a:avLst/>
        </a:prstGeom>
        <a:noFill/>
        <a:ln w="9525">
          <a:noFill/>
        </a:ln>
      </xdr:spPr>
    </xdr:pic>
  </etc:cellImage>
  <etc:cellImage>
    <xdr:pic>
      <xdr:nvPicPr>
        <xdr:cNvPr id="464" name="ID_86BDFC367F464FBC8139D41E5BBC50AE"/>
        <xdr:cNvPicPr>
          <a:picLocks noChangeAspect="1"/>
        </xdr:cNvPicPr>
      </xdr:nvPicPr>
      <xdr:blipFill>
        <a:blip r:embed="rId451"/>
        <a:srcRect t="11116"/>
        <a:stretch>
          <a:fillRect/>
        </a:stretch>
      </xdr:blipFill>
      <xdr:spPr>
        <a:xfrm>
          <a:off x="12371705" y="948647455"/>
          <a:ext cx="2072640" cy="2032635"/>
        </a:xfrm>
        <a:prstGeom prst="rect">
          <a:avLst/>
        </a:prstGeom>
        <a:noFill/>
        <a:ln w="9525">
          <a:noFill/>
        </a:ln>
      </xdr:spPr>
    </xdr:pic>
  </etc:cellImage>
  <etc:cellImage>
    <xdr:pic>
      <xdr:nvPicPr>
        <xdr:cNvPr id="465" name="ID_CF40351D5B144341892F70E8D2217C17" descr="包豆腐"/>
        <xdr:cNvPicPr>
          <a:picLocks noChangeAspect="1"/>
        </xdr:cNvPicPr>
      </xdr:nvPicPr>
      <xdr:blipFill>
        <a:blip r:embed="rId452"/>
        <a:stretch>
          <a:fillRect/>
        </a:stretch>
      </xdr:blipFill>
      <xdr:spPr>
        <a:xfrm>
          <a:off x="12378055" y="851484200"/>
          <a:ext cx="2060575" cy="2057400"/>
        </a:xfrm>
        <a:prstGeom prst="rect">
          <a:avLst/>
        </a:prstGeom>
        <a:noFill/>
        <a:ln w="9525">
          <a:noFill/>
        </a:ln>
      </xdr:spPr>
    </xdr:pic>
  </etc:cellImage>
  <etc:cellImage>
    <xdr:pic>
      <xdr:nvPicPr>
        <xdr:cNvPr id="466" name="ID_A7A7FA63DBA14081AAA68225D30521C6" descr="tb_image_share_1761721717987.jpg"/>
        <xdr:cNvPicPr>
          <a:picLocks noChangeAspect="1"/>
        </xdr:cNvPicPr>
      </xdr:nvPicPr>
      <xdr:blipFill>
        <a:blip r:embed="rId453"/>
        <a:srcRect l="11081" t="11572" r="10092" b="37263"/>
        <a:stretch>
          <a:fillRect/>
        </a:stretch>
      </xdr:blipFill>
      <xdr:spPr>
        <a:xfrm>
          <a:off x="12399010" y="905459200"/>
          <a:ext cx="2018665" cy="2057400"/>
        </a:xfrm>
        <a:prstGeom prst="rect">
          <a:avLst/>
        </a:prstGeom>
        <a:noFill/>
        <a:ln w="9525">
          <a:noFill/>
        </a:ln>
      </xdr:spPr>
    </xdr:pic>
  </etc:cellImage>
  <etc:cellImage>
    <xdr:pic>
      <xdr:nvPicPr>
        <xdr:cNvPr id="467" name="ID_751D9D679F2D48B2B8CC364D6A75FAB0" descr="红小米辣"/>
        <xdr:cNvPicPr>
          <a:picLocks noChangeAspect="1"/>
        </xdr:cNvPicPr>
      </xdr:nvPicPr>
      <xdr:blipFill>
        <a:blip r:embed="rId454"/>
        <a:stretch>
          <a:fillRect/>
        </a:stretch>
      </xdr:blipFill>
      <xdr:spPr>
        <a:xfrm>
          <a:off x="12380595" y="1065225200"/>
          <a:ext cx="2055495" cy="2049145"/>
        </a:xfrm>
        <a:prstGeom prst="rect">
          <a:avLst/>
        </a:prstGeom>
        <a:noFill/>
        <a:ln w="9525">
          <a:noFill/>
        </a:ln>
      </xdr:spPr>
    </xdr:pic>
  </etc:cellImage>
  <etc:cellImage>
    <xdr:pic>
      <xdr:nvPicPr>
        <xdr:cNvPr id="468" name="ID_E52313DE43DC472B8B1706D13FDDA6B8" descr="厚豆干"/>
        <xdr:cNvPicPr>
          <a:picLocks noChangeAspect="1"/>
        </xdr:cNvPicPr>
      </xdr:nvPicPr>
      <xdr:blipFill>
        <a:blip r:embed="rId455"/>
        <a:stretch>
          <a:fillRect/>
        </a:stretch>
      </xdr:blipFill>
      <xdr:spPr>
        <a:xfrm>
          <a:off x="12369800" y="853651455"/>
          <a:ext cx="2077085" cy="2040890"/>
        </a:xfrm>
        <a:prstGeom prst="rect">
          <a:avLst/>
        </a:prstGeom>
        <a:noFill/>
        <a:ln w="9525">
          <a:noFill/>
        </a:ln>
      </xdr:spPr>
    </xdr:pic>
  </etc:cellImage>
  <etc:cellImage>
    <xdr:pic>
      <xdr:nvPicPr>
        <xdr:cNvPr id="469" name="ID_E465A034DD864A03BA3ECBA4184E570D"/>
        <xdr:cNvPicPr>
          <a:picLocks noChangeAspect="1"/>
        </xdr:cNvPicPr>
      </xdr:nvPicPr>
      <xdr:blipFill>
        <a:blip r:embed="rId456"/>
        <a:stretch>
          <a:fillRect/>
        </a:stretch>
      </xdr:blipFill>
      <xdr:spPr>
        <a:xfrm>
          <a:off x="12930505" y="955082545"/>
          <a:ext cx="955675" cy="2124710"/>
        </a:xfrm>
        <a:prstGeom prst="rect">
          <a:avLst/>
        </a:prstGeom>
        <a:noFill/>
        <a:ln w="9525">
          <a:noFill/>
        </a:ln>
      </xdr:spPr>
    </xdr:pic>
  </etc:cellImage>
  <etc:cellImage>
    <xdr:pic>
      <xdr:nvPicPr>
        <xdr:cNvPr id="470" name="ID_169E570C56744E49BA879A39250AB38D" descr="西蓝花"/>
        <xdr:cNvPicPr>
          <a:picLocks noChangeAspect="1"/>
        </xdr:cNvPicPr>
      </xdr:nvPicPr>
      <xdr:blipFill>
        <a:blip r:embed="rId457"/>
        <a:stretch>
          <a:fillRect/>
        </a:stretch>
      </xdr:blipFill>
      <xdr:spPr>
        <a:xfrm>
          <a:off x="12380595" y="1015584710"/>
          <a:ext cx="2058035" cy="2024380"/>
        </a:xfrm>
        <a:prstGeom prst="rect">
          <a:avLst/>
        </a:prstGeom>
        <a:noFill/>
        <a:ln w="9525">
          <a:noFill/>
        </a:ln>
      </xdr:spPr>
    </xdr:pic>
  </etc:cellImage>
  <etc:cellImage>
    <xdr:pic>
      <xdr:nvPicPr>
        <xdr:cNvPr id="471" name="ID_F553CA4FEC9249D8A15780D37F170818"/>
        <xdr:cNvPicPr>
          <a:picLocks noChangeAspect="1"/>
        </xdr:cNvPicPr>
      </xdr:nvPicPr>
      <xdr:blipFill>
        <a:blip r:embed="rId458"/>
        <a:stretch>
          <a:fillRect/>
        </a:stretch>
      </xdr:blipFill>
      <xdr:spPr>
        <a:xfrm>
          <a:off x="12605385" y="868874310"/>
          <a:ext cx="1605915" cy="1821180"/>
        </a:xfrm>
        <a:prstGeom prst="rect">
          <a:avLst/>
        </a:prstGeom>
        <a:noFill/>
        <a:ln w="9525">
          <a:noFill/>
        </a:ln>
      </xdr:spPr>
    </xdr:pic>
  </etc:cellImage>
  <etc:cellImage>
    <xdr:pic>
      <xdr:nvPicPr>
        <xdr:cNvPr id="472" name="ID_32F1FA71A5E2435E9CCE5A02BCBED1DA" descr="广东炒河粉的做法_【图解】广东炒河粉怎么做如何做好吃_广东炒河粉家常做法大全_施施ss_豆果美食"/>
        <xdr:cNvPicPr>
          <a:picLocks noChangeAspect="1"/>
        </xdr:cNvPicPr>
      </xdr:nvPicPr>
      <xdr:blipFill>
        <a:blip r:embed="rId459"/>
        <a:srcRect l="10445" r="5215" b="16940"/>
        <a:stretch>
          <a:fillRect/>
        </a:stretch>
      </xdr:blipFill>
      <xdr:spPr>
        <a:xfrm>
          <a:off x="12367895" y="873065310"/>
          <a:ext cx="2078990" cy="2075180"/>
        </a:xfrm>
        <a:prstGeom prst="rect">
          <a:avLst/>
        </a:prstGeom>
        <a:noFill/>
        <a:ln w="9525">
          <a:noFill/>
        </a:ln>
      </xdr:spPr>
    </xdr:pic>
  </etc:cellImage>
  <etc:cellImage>
    <xdr:pic>
      <xdr:nvPicPr>
        <xdr:cNvPr id="473" name="ID_761703D0C5FC459C9D7B87114D4560F8" descr="凉粉"/>
        <xdr:cNvPicPr>
          <a:picLocks noChangeAspect="1"/>
        </xdr:cNvPicPr>
      </xdr:nvPicPr>
      <xdr:blipFill>
        <a:blip r:embed="rId460"/>
        <a:stretch>
          <a:fillRect/>
        </a:stretch>
      </xdr:blipFill>
      <xdr:spPr>
        <a:xfrm>
          <a:off x="12386310" y="875241455"/>
          <a:ext cx="2043430" cy="2040890"/>
        </a:xfrm>
        <a:prstGeom prst="rect">
          <a:avLst/>
        </a:prstGeom>
        <a:noFill/>
        <a:ln w="9525">
          <a:noFill/>
        </a:ln>
      </xdr:spPr>
    </xdr:pic>
  </etc:cellImage>
  <etc:cellImage>
    <xdr:pic>
      <xdr:nvPicPr>
        <xdr:cNvPr id="474" name="ID_C661A7D3E89343CEBB79BB8708E9F581" descr="C:/Users/liaow/Desktop/微信图片_20250901110513_19_67.jpg微信图片_20250901110513_19_67"/>
        <xdr:cNvPicPr>
          <a:picLocks noChangeAspect="1"/>
        </xdr:cNvPicPr>
      </xdr:nvPicPr>
      <xdr:blipFill>
        <a:blip r:embed="rId461"/>
        <a:srcRect l="6319" r="6319"/>
        <a:stretch>
          <a:fillRect/>
        </a:stretch>
      </xdr:blipFill>
      <xdr:spPr>
        <a:xfrm>
          <a:off x="12386310" y="879551200"/>
          <a:ext cx="2043430" cy="2049145"/>
        </a:xfrm>
        <a:prstGeom prst="rect">
          <a:avLst/>
        </a:prstGeom>
        <a:noFill/>
        <a:ln w="9525">
          <a:noFill/>
        </a:ln>
      </xdr:spPr>
    </xdr:pic>
  </etc:cellImage>
  <etc:cellImage>
    <xdr:pic>
      <xdr:nvPicPr>
        <xdr:cNvPr id="475" name="ID_EBA38DDEC37C45CEAF58350718FC1D37"/>
        <xdr:cNvPicPr>
          <a:picLocks noChangeAspect="1"/>
        </xdr:cNvPicPr>
      </xdr:nvPicPr>
      <xdr:blipFill>
        <a:blip r:embed="rId462"/>
        <a:srcRect l="8923" t="18781" r="7613" b="28958"/>
        <a:stretch>
          <a:fillRect/>
        </a:stretch>
      </xdr:blipFill>
      <xdr:spPr>
        <a:xfrm>
          <a:off x="12363450" y="942524785"/>
          <a:ext cx="2087245" cy="1332230"/>
        </a:xfrm>
        <a:prstGeom prst="rect">
          <a:avLst/>
        </a:prstGeom>
        <a:noFill/>
        <a:ln w="9525">
          <a:noFill/>
        </a:ln>
      </xdr:spPr>
    </xdr:pic>
  </etc:cellImage>
  <etc:cellImage>
    <xdr:pic>
      <xdr:nvPicPr>
        <xdr:cNvPr id="476" name="ID_73BA7354D886480A85D5EDAAF6D0DB4D"/>
        <xdr:cNvPicPr>
          <a:picLocks noChangeAspect="1"/>
        </xdr:cNvPicPr>
      </xdr:nvPicPr>
      <xdr:blipFill>
        <a:blip r:embed="rId463"/>
        <a:stretch>
          <a:fillRect/>
        </a:stretch>
      </xdr:blipFill>
      <xdr:spPr>
        <a:xfrm>
          <a:off x="12371705" y="890312545"/>
          <a:ext cx="2075180" cy="2116455"/>
        </a:xfrm>
        <a:prstGeom prst="rect">
          <a:avLst/>
        </a:prstGeom>
        <a:noFill/>
        <a:ln w="9525">
          <a:noFill/>
        </a:ln>
      </xdr:spPr>
    </xdr:pic>
  </etc:cellImage>
  <etc:cellImage>
    <xdr:pic>
      <xdr:nvPicPr>
        <xdr:cNvPr id="477" name="ID_0891D7C223D34B39B1B448BE4D2CD094" descr="tb_image_share_1761721521988.jpg"/>
        <xdr:cNvPicPr>
          <a:picLocks noChangeAspect="1"/>
        </xdr:cNvPicPr>
      </xdr:nvPicPr>
      <xdr:blipFill>
        <a:blip r:embed="rId464"/>
        <a:srcRect l="10881" t="13461" r="8264" b="45329"/>
        <a:stretch>
          <a:fillRect/>
        </a:stretch>
      </xdr:blipFill>
      <xdr:spPr>
        <a:xfrm>
          <a:off x="12376150" y="898973310"/>
          <a:ext cx="2064385" cy="2066290"/>
        </a:xfrm>
        <a:prstGeom prst="rect">
          <a:avLst/>
        </a:prstGeom>
        <a:noFill/>
        <a:ln w="9525">
          <a:noFill/>
        </a:ln>
      </xdr:spPr>
    </xdr:pic>
  </etc:cellImage>
  <etc:cellImage>
    <xdr:pic>
      <xdr:nvPicPr>
        <xdr:cNvPr id="478" name="ID_40E86BD9A1314CBB8F8D84B0D055F0F2" descr="花菜"/>
        <xdr:cNvPicPr>
          <a:picLocks noChangeAspect="1"/>
        </xdr:cNvPicPr>
      </xdr:nvPicPr>
      <xdr:blipFill>
        <a:blip r:embed="rId465"/>
        <a:stretch>
          <a:fillRect/>
        </a:stretch>
      </xdr:blipFill>
      <xdr:spPr>
        <a:xfrm>
          <a:off x="12371705" y="1013417455"/>
          <a:ext cx="2075180" cy="2032635"/>
        </a:xfrm>
        <a:prstGeom prst="rect">
          <a:avLst/>
        </a:prstGeom>
        <a:noFill/>
        <a:ln w="9525">
          <a:noFill/>
        </a:ln>
      </xdr:spPr>
    </xdr:pic>
  </etc:cellImage>
  <etc:cellImage>
    <xdr:pic>
      <xdr:nvPicPr>
        <xdr:cNvPr id="479" name="ID_6B162454A740412EA843D8FE51008103" descr="紫薯"/>
        <xdr:cNvPicPr>
          <a:picLocks noChangeAspect="1"/>
        </xdr:cNvPicPr>
      </xdr:nvPicPr>
      <xdr:blipFill>
        <a:blip r:embed="rId466"/>
        <a:stretch>
          <a:fillRect/>
        </a:stretch>
      </xdr:blipFill>
      <xdr:spPr>
        <a:xfrm>
          <a:off x="12400915" y="1114915855"/>
          <a:ext cx="2012315" cy="1990090"/>
        </a:xfrm>
        <a:prstGeom prst="rect">
          <a:avLst/>
        </a:prstGeom>
        <a:noFill/>
        <a:ln w="9525">
          <a:noFill/>
        </a:ln>
      </xdr:spPr>
    </xdr:pic>
  </etc:cellImage>
  <etc:cellImage>
    <xdr:pic>
      <xdr:nvPicPr>
        <xdr:cNvPr id="480" name="ID_BFE65DCC94434A5AB8796A18573812D4" descr="tb_image_share_1761721677638.jpg"/>
        <xdr:cNvPicPr>
          <a:picLocks noChangeAspect="1"/>
        </xdr:cNvPicPr>
      </xdr:nvPicPr>
      <xdr:blipFill>
        <a:blip r:embed="rId467"/>
        <a:srcRect l="8492" t="13161" r="9857" b="45692"/>
        <a:stretch>
          <a:fillRect/>
        </a:stretch>
      </xdr:blipFill>
      <xdr:spPr>
        <a:xfrm>
          <a:off x="12545060" y="903468475"/>
          <a:ext cx="1651635" cy="1636395"/>
        </a:xfrm>
        <a:prstGeom prst="rect">
          <a:avLst/>
        </a:prstGeom>
        <a:noFill/>
        <a:ln w="9525">
          <a:noFill/>
        </a:ln>
      </xdr:spPr>
    </xdr:pic>
  </etc:cellImage>
  <etc:cellImage>
    <xdr:pic>
      <xdr:nvPicPr>
        <xdr:cNvPr id="481" name="ID_5C08EA0923554F2898FB836CC3903E7D"/>
        <xdr:cNvPicPr>
          <a:picLocks noChangeAspect="1"/>
        </xdr:cNvPicPr>
      </xdr:nvPicPr>
      <xdr:blipFill>
        <a:blip r:embed="rId468"/>
        <a:stretch>
          <a:fillRect/>
        </a:stretch>
      </xdr:blipFill>
      <xdr:spPr>
        <a:xfrm>
          <a:off x="12367895" y="909760055"/>
          <a:ext cx="2078990" cy="2083435"/>
        </a:xfrm>
        <a:prstGeom prst="rect">
          <a:avLst/>
        </a:prstGeom>
        <a:noFill/>
        <a:ln w="9525">
          <a:noFill/>
        </a:ln>
      </xdr:spPr>
    </xdr:pic>
  </etc:cellImage>
  <etc:cellImage>
    <xdr:pic>
      <xdr:nvPicPr>
        <xdr:cNvPr id="482" name="ID_DC0AED27B21B4C04A300F12E40069468"/>
        <xdr:cNvPicPr>
          <a:picLocks noChangeAspect="1"/>
        </xdr:cNvPicPr>
      </xdr:nvPicPr>
      <xdr:blipFill>
        <a:blip r:embed="rId469"/>
        <a:stretch>
          <a:fillRect/>
        </a:stretch>
      </xdr:blipFill>
      <xdr:spPr>
        <a:xfrm>
          <a:off x="12388850" y="968086710"/>
          <a:ext cx="2053590" cy="2049780"/>
        </a:xfrm>
        <a:prstGeom prst="rect">
          <a:avLst/>
        </a:prstGeom>
        <a:noFill/>
        <a:ln w="9525">
          <a:noFill/>
        </a:ln>
      </xdr:spPr>
    </xdr:pic>
  </etc:cellImage>
  <etc:cellImage>
    <xdr:pic>
      <xdr:nvPicPr>
        <xdr:cNvPr id="483" name="ID_6A24FA6E83A94CC394C9735B88628100"/>
        <xdr:cNvPicPr>
          <a:picLocks noChangeAspect="1"/>
        </xdr:cNvPicPr>
      </xdr:nvPicPr>
      <xdr:blipFill>
        <a:blip r:embed="rId470"/>
        <a:stretch>
          <a:fillRect/>
        </a:stretch>
      </xdr:blipFill>
      <xdr:spPr>
        <a:xfrm>
          <a:off x="12359640" y="918396055"/>
          <a:ext cx="2095500" cy="2091690"/>
        </a:xfrm>
        <a:prstGeom prst="rect">
          <a:avLst/>
        </a:prstGeom>
        <a:noFill/>
        <a:ln w="9525">
          <a:noFill/>
        </a:ln>
      </xdr:spPr>
    </xdr:pic>
  </etc:cellImage>
  <etc:cellImage>
    <xdr:pic>
      <xdr:nvPicPr>
        <xdr:cNvPr id="484" name="ID_937ED91DBFF4465CA4E313FA8C0C3D66"/>
        <xdr:cNvPicPr>
          <a:picLocks noChangeAspect="1"/>
        </xdr:cNvPicPr>
      </xdr:nvPicPr>
      <xdr:blipFill>
        <a:blip r:embed="rId471"/>
        <a:srcRect b="26950"/>
        <a:stretch>
          <a:fillRect/>
        </a:stretch>
      </xdr:blipFill>
      <xdr:spPr>
        <a:xfrm>
          <a:off x="12357735" y="924873055"/>
          <a:ext cx="2101215" cy="2083435"/>
        </a:xfrm>
        <a:prstGeom prst="rect">
          <a:avLst/>
        </a:prstGeom>
        <a:noFill/>
        <a:ln w="9525">
          <a:noFill/>
        </a:ln>
      </xdr:spPr>
    </xdr:pic>
  </etc:cellImage>
  <etc:cellImage>
    <xdr:pic>
      <xdr:nvPicPr>
        <xdr:cNvPr id="485" name="ID_50762542109645AD86280406C36C25F6" descr="茶树菇"/>
        <xdr:cNvPicPr>
          <a:picLocks noChangeAspect="1"/>
        </xdr:cNvPicPr>
      </xdr:nvPicPr>
      <xdr:blipFill>
        <a:blip r:embed="rId472"/>
        <a:stretch>
          <a:fillRect/>
        </a:stretch>
      </xdr:blipFill>
      <xdr:spPr>
        <a:xfrm>
          <a:off x="12355195" y="1084630800"/>
          <a:ext cx="2106295" cy="2108200"/>
        </a:xfrm>
        <a:prstGeom prst="rect">
          <a:avLst/>
        </a:prstGeom>
        <a:noFill/>
        <a:ln w="9525">
          <a:noFill/>
        </a:ln>
      </xdr:spPr>
    </xdr:pic>
  </etc:cellImage>
  <etc:cellImage>
    <xdr:pic>
      <xdr:nvPicPr>
        <xdr:cNvPr id="486" name="ID_BCE5994CB0BD487DB577CFF796C7F2C4"/>
        <xdr:cNvPicPr>
          <a:picLocks noChangeAspect="1"/>
        </xdr:cNvPicPr>
      </xdr:nvPicPr>
      <xdr:blipFill>
        <a:blip r:embed="rId473"/>
        <a:stretch>
          <a:fillRect/>
        </a:stretch>
      </xdr:blipFill>
      <xdr:spPr>
        <a:xfrm>
          <a:off x="12363450" y="935668055"/>
          <a:ext cx="2089150" cy="2091690"/>
        </a:xfrm>
        <a:prstGeom prst="rect">
          <a:avLst/>
        </a:prstGeom>
        <a:noFill/>
        <a:ln w="9525">
          <a:noFill/>
        </a:ln>
      </xdr:spPr>
    </xdr:pic>
  </etc:cellImage>
  <etc:cellImage>
    <xdr:pic>
      <xdr:nvPicPr>
        <xdr:cNvPr id="487" name="ID_E0CC724393F44ED399F6D73121EBAAC6"/>
        <xdr:cNvPicPr>
          <a:picLocks noChangeAspect="1"/>
        </xdr:cNvPicPr>
      </xdr:nvPicPr>
      <xdr:blipFill>
        <a:blip r:embed="rId474"/>
        <a:stretch>
          <a:fillRect/>
        </a:stretch>
      </xdr:blipFill>
      <xdr:spPr>
        <a:xfrm>
          <a:off x="12400915" y="937844200"/>
          <a:ext cx="2014220" cy="2049145"/>
        </a:xfrm>
        <a:prstGeom prst="rect">
          <a:avLst/>
        </a:prstGeom>
        <a:noFill/>
        <a:ln w="9525">
          <a:noFill/>
        </a:ln>
      </xdr:spPr>
    </xdr:pic>
  </etc:cellImage>
  <etc:cellImage>
    <xdr:pic>
      <xdr:nvPicPr>
        <xdr:cNvPr id="488" name="ID_37CAE7B598B84B11AA80027BE155E3EE" descr="蒜苗"/>
        <xdr:cNvPicPr>
          <a:picLocks noChangeAspect="1"/>
        </xdr:cNvPicPr>
      </xdr:nvPicPr>
      <xdr:blipFill>
        <a:blip r:embed="rId475"/>
        <a:stretch>
          <a:fillRect/>
        </a:stretch>
      </xdr:blipFill>
      <xdr:spPr>
        <a:xfrm>
          <a:off x="12397105" y="996111800"/>
          <a:ext cx="2022475" cy="2108200"/>
        </a:xfrm>
        <a:prstGeom prst="rect">
          <a:avLst/>
        </a:prstGeom>
        <a:noFill/>
        <a:ln w="9525">
          <a:noFill/>
        </a:ln>
      </xdr:spPr>
    </xdr:pic>
  </etc:cellImage>
  <etc:cellImage>
    <xdr:pic>
      <xdr:nvPicPr>
        <xdr:cNvPr id="489" name="ID_5ECBA802DC8B4BA0BE7BB8B6E326E884" descr="平菇"/>
        <xdr:cNvPicPr>
          <a:picLocks noChangeAspect="1"/>
        </xdr:cNvPicPr>
      </xdr:nvPicPr>
      <xdr:blipFill>
        <a:blip r:embed="rId476"/>
        <a:stretch>
          <a:fillRect/>
        </a:stretch>
      </xdr:blipFill>
      <xdr:spPr>
        <a:xfrm>
          <a:off x="12380595" y="1097610200"/>
          <a:ext cx="2058035" cy="2049145"/>
        </a:xfrm>
        <a:prstGeom prst="rect">
          <a:avLst/>
        </a:prstGeom>
        <a:noFill/>
        <a:ln w="9525">
          <a:noFill/>
        </a:ln>
      </xdr:spPr>
    </xdr:pic>
  </etc:cellImage>
  <etc:cellImage>
    <xdr:pic>
      <xdr:nvPicPr>
        <xdr:cNvPr id="490" name="ID_498B7ABA4EEA404C99C605A68C6BBFEF" descr="生菜"/>
        <xdr:cNvPicPr>
          <a:picLocks noChangeAspect="1"/>
        </xdr:cNvPicPr>
      </xdr:nvPicPr>
      <xdr:blipFill>
        <a:blip r:embed="rId477"/>
        <a:stretch>
          <a:fillRect/>
        </a:stretch>
      </xdr:blipFill>
      <xdr:spPr>
        <a:xfrm>
          <a:off x="12444730" y="1149510655"/>
          <a:ext cx="1927225" cy="1889125"/>
        </a:xfrm>
        <a:prstGeom prst="rect">
          <a:avLst/>
        </a:prstGeom>
        <a:noFill/>
        <a:ln w="9525">
          <a:noFill/>
        </a:ln>
      </xdr:spPr>
    </xdr:pic>
  </etc:cellImage>
  <etc:cellImage>
    <xdr:pic>
      <xdr:nvPicPr>
        <xdr:cNvPr id="493" name="ID_06CA943E240E4873881AE7E3CE556235"/>
        <xdr:cNvPicPr>
          <a:picLocks noChangeAspect="1"/>
        </xdr:cNvPicPr>
      </xdr:nvPicPr>
      <xdr:blipFill>
        <a:blip r:embed="rId478"/>
        <a:srcRect t="22337" r="6018" b="24538"/>
        <a:stretch>
          <a:fillRect/>
        </a:stretch>
      </xdr:blipFill>
      <xdr:spPr>
        <a:xfrm>
          <a:off x="12386310" y="940230530"/>
          <a:ext cx="2043430" cy="1602740"/>
        </a:xfrm>
        <a:prstGeom prst="rect">
          <a:avLst/>
        </a:prstGeom>
        <a:noFill/>
        <a:ln w="9525">
          <a:noFill/>
        </a:ln>
      </xdr:spPr>
    </xdr:pic>
  </etc:cellImage>
  <etc:cellImage>
    <xdr:pic>
      <xdr:nvPicPr>
        <xdr:cNvPr id="495" name="ID_B2FAEB58806D4676B0B66D8EBFA57BAB"/>
        <xdr:cNvPicPr>
          <a:picLocks noChangeAspect="1"/>
        </xdr:cNvPicPr>
      </xdr:nvPicPr>
      <xdr:blipFill>
        <a:blip r:embed="rId479"/>
        <a:srcRect b="3729"/>
        <a:stretch>
          <a:fillRect/>
        </a:stretch>
      </xdr:blipFill>
      <xdr:spPr>
        <a:xfrm>
          <a:off x="12380595" y="953049910"/>
          <a:ext cx="2053590" cy="1796415"/>
        </a:xfrm>
        <a:prstGeom prst="rect">
          <a:avLst/>
        </a:prstGeom>
        <a:noFill/>
        <a:ln w="9525">
          <a:noFill/>
        </a:ln>
      </xdr:spPr>
    </xdr:pic>
  </etc:cellImage>
  <etc:cellImage>
    <xdr:pic>
      <xdr:nvPicPr>
        <xdr:cNvPr id="496" name="ID_020A8E6A6A87489D933622A73441BF1C"/>
        <xdr:cNvPicPr>
          <a:picLocks noChangeAspect="1"/>
        </xdr:cNvPicPr>
      </xdr:nvPicPr>
      <xdr:blipFill>
        <a:blip r:embed="rId480"/>
        <a:stretch>
          <a:fillRect/>
        </a:stretch>
      </xdr:blipFill>
      <xdr:spPr>
        <a:xfrm>
          <a:off x="12438380" y="959493255"/>
          <a:ext cx="1939290" cy="1939290"/>
        </a:xfrm>
        <a:prstGeom prst="rect">
          <a:avLst/>
        </a:prstGeom>
        <a:noFill/>
        <a:ln w="9525">
          <a:noFill/>
        </a:ln>
      </xdr:spPr>
    </xdr:pic>
  </etc:cellImage>
  <etc:cellImage>
    <xdr:pic>
      <xdr:nvPicPr>
        <xdr:cNvPr id="497" name="ID_B667E06004EB44E89D6B8C734C98B7F3" descr="铁棍山药"/>
        <xdr:cNvPicPr>
          <a:picLocks noChangeAspect="1"/>
        </xdr:cNvPicPr>
      </xdr:nvPicPr>
      <xdr:blipFill>
        <a:blip r:embed="rId481"/>
        <a:stretch>
          <a:fillRect/>
        </a:stretch>
      </xdr:blipFill>
      <xdr:spPr>
        <a:xfrm>
          <a:off x="12374245" y="1121359200"/>
          <a:ext cx="2066290" cy="2057400"/>
        </a:xfrm>
        <a:prstGeom prst="rect">
          <a:avLst/>
        </a:prstGeom>
        <a:noFill/>
        <a:ln w="9525">
          <a:noFill/>
        </a:ln>
      </xdr:spPr>
    </xdr:pic>
  </etc:cellImage>
  <etc:cellImage>
    <xdr:pic>
      <xdr:nvPicPr>
        <xdr:cNvPr id="498" name="ID_3CA55F4B40CD4FC8B02A3984D935C5C1"/>
        <xdr:cNvPicPr>
          <a:picLocks noChangeAspect="1"/>
        </xdr:cNvPicPr>
      </xdr:nvPicPr>
      <xdr:blipFill>
        <a:blip r:embed="rId482"/>
        <a:srcRect b="9819"/>
        <a:stretch>
          <a:fillRect/>
        </a:stretch>
      </xdr:blipFill>
      <xdr:spPr>
        <a:xfrm>
          <a:off x="12402820" y="976741760"/>
          <a:ext cx="2028825" cy="2015490"/>
        </a:xfrm>
        <a:prstGeom prst="rect">
          <a:avLst/>
        </a:prstGeom>
        <a:noFill/>
        <a:ln w="9525">
          <a:noFill/>
        </a:ln>
      </xdr:spPr>
    </xdr:pic>
  </etc:cellImage>
  <etc:cellImage>
    <xdr:pic>
      <xdr:nvPicPr>
        <xdr:cNvPr id="499" name="ID_E74E2D726E804FA5A667A22A21882977"/>
        <xdr:cNvPicPr>
          <a:picLocks noChangeAspect="1"/>
        </xdr:cNvPicPr>
      </xdr:nvPicPr>
      <xdr:blipFill>
        <a:blip r:embed="rId483"/>
        <a:stretch>
          <a:fillRect/>
        </a:stretch>
      </xdr:blipFill>
      <xdr:spPr>
        <a:xfrm>
          <a:off x="12338685" y="972396455"/>
          <a:ext cx="2128520" cy="2049145"/>
        </a:xfrm>
        <a:prstGeom prst="rect">
          <a:avLst/>
        </a:prstGeom>
        <a:noFill/>
        <a:ln w="9525">
          <a:noFill/>
        </a:ln>
      </xdr:spPr>
    </xdr:pic>
  </etc:cellImage>
  <etc:cellImage>
    <xdr:pic>
      <xdr:nvPicPr>
        <xdr:cNvPr id="500" name="ID_AB64E619DE0F4B30A2633D6BC8D4AFD3"/>
        <xdr:cNvPicPr>
          <a:picLocks noChangeAspect="1"/>
        </xdr:cNvPicPr>
      </xdr:nvPicPr>
      <xdr:blipFill>
        <a:blip r:embed="rId484"/>
        <a:srcRect b="9334"/>
        <a:stretch>
          <a:fillRect/>
        </a:stretch>
      </xdr:blipFill>
      <xdr:spPr>
        <a:xfrm>
          <a:off x="12397105" y="1082505455"/>
          <a:ext cx="2020570" cy="2032635"/>
        </a:xfrm>
        <a:prstGeom prst="rect">
          <a:avLst/>
        </a:prstGeom>
        <a:noFill/>
        <a:ln w="9525">
          <a:noFill/>
        </a:ln>
      </xdr:spPr>
    </xdr:pic>
  </etc:cellImage>
  <etc:cellImage>
    <xdr:pic>
      <xdr:nvPicPr>
        <xdr:cNvPr id="501" name="ID_48113DA2EE0948689F241F7A286A1942"/>
        <xdr:cNvPicPr>
          <a:picLocks noChangeAspect="1"/>
        </xdr:cNvPicPr>
      </xdr:nvPicPr>
      <xdr:blipFill>
        <a:blip r:embed="rId485"/>
        <a:srcRect t="24062"/>
        <a:stretch>
          <a:fillRect/>
        </a:stretch>
      </xdr:blipFill>
      <xdr:spPr>
        <a:xfrm>
          <a:off x="12409805" y="1192648110"/>
          <a:ext cx="1997075" cy="1973580"/>
        </a:xfrm>
        <a:prstGeom prst="rect">
          <a:avLst/>
        </a:prstGeom>
        <a:noFill/>
        <a:ln w="9525">
          <a:noFill/>
        </a:ln>
      </xdr:spPr>
    </xdr:pic>
  </etc:cellImage>
  <etc:cellImage>
    <xdr:pic>
      <xdr:nvPicPr>
        <xdr:cNvPr id="502" name="ID_55F4BE4BA1A04A54BF5C8059AFF2B721" descr="绿豆芽"/>
        <xdr:cNvPicPr>
          <a:picLocks noChangeAspect="1"/>
        </xdr:cNvPicPr>
      </xdr:nvPicPr>
      <xdr:blipFill>
        <a:blip r:embed="rId486"/>
        <a:srcRect b="7166"/>
        <a:stretch>
          <a:fillRect/>
        </a:stretch>
      </xdr:blipFill>
      <xdr:spPr>
        <a:xfrm>
          <a:off x="12367895" y="1134296055"/>
          <a:ext cx="2078990" cy="2091690"/>
        </a:xfrm>
        <a:prstGeom prst="rect">
          <a:avLst/>
        </a:prstGeom>
        <a:noFill/>
        <a:ln w="9525">
          <a:noFill/>
        </a:ln>
      </xdr:spPr>
    </xdr:pic>
  </etc:cellImage>
  <etc:cellImage>
    <xdr:pic>
      <xdr:nvPicPr>
        <xdr:cNvPr id="503" name="ID_FDFE7808A2B745029A886B3509107BE9" descr="27fb0c3af09d4a1d87c1423d228a4b94.jpg (1280×960)"/>
        <xdr:cNvPicPr>
          <a:picLocks noChangeAspect="1"/>
        </xdr:cNvPicPr>
      </xdr:nvPicPr>
      <xdr:blipFill>
        <a:blip r:embed="rId487"/>
        <a:stretch>
          <a:fillRect/>
        </a:stretch>
      </xdr:blipFill>
      <xdr:spPr>
        <a:xfrm>
          <a:off x="12386310" y="978873455"/>
          <a:ext cx="2043430" cy="2032635"/>
        </a:xfrm>
        <a:prstGeom prst="rect">
          <a:avLst/>
        </a:prstGeom>
        <a:noFill/>
        <a:ln w="9525">
          <a:noFill/>
        </a:ln>
      </xdr:spPr>
    </xdr:pic>
  </etc:cellImage>
  <etc:cellImage>
    <xdr:pic>
      <xdr:nvPicPr>
        <xdr:cNvPr id="504" name="ID_5F66920A795E4502A29F0D5545E6B267"/>
        <xdr:cNvPicPr>
          <a:picLocks noChangeAspect="1"/>
        </xdr:cNvPicPr>
      </xdr:nvPicPr>
      <xdr:blipFill>
        <a:blip r:embed="rId488"/>
        <a:stretch>
          <a:fillRect/>
        </a:stretch>
      </xdr:blipFill>
      <xdr:spPr>
        <a:xfrm>
          <a:off x="12421870" y="1032873855"/>
          <a:ext cx="1972945" cy="1981835"/>
        </a:xfrm>
        <a:prstGeom prst="rect">
          <a:avLst/>
        </a:prstGeom>
        <a:noFill/>
        <a:ln w="9525">
          <a:noFill/>
        </a:ln>
      </xdr:spPr>
    </xdr:pic>
  </etc:cellImage>
  <etc:cellImage>
    <xdr:pic>
      <xdr:nvPicPr>
        <xdr:cNvPr id="505" name="ID_6536396A8C11404AA5F75EABE5148EE0" descr="冬瓜"/>
        <xdr:cNvPicPr>
          <a:picLocks noChangeAspect="1"/>
        </xdr:cNvPicPr>
      </xdr:nvPicPr>
      <xdr:blipFill>
        <a:blip r:embed="rId489"/>
        <a:srcRect r="33607" b="1279"/>
        <a:stretch>
          <a:fillRect/>
        </a:stretch>
      </xdr:blipFill>
      <xdr:spPr>
        <a:xfrm>
          <a:off x="12369800" y="1034982055"/>
          <a:ext cx="2077085" cy="2083435"/>
        </a:xfrm>
        <a:prstGeom prst="rect">
          <a:avLst/>
        </a:prstGeom>
        <a:noFill/>
        <a:ln w="9525">
          <a:noFill/>
        </a:ln>
      </xdr:spPr>
    </xdr:pic>
  </etc:cellImage>
  <etc:cellImage>
    <xdr:pic>
      <xdr:nvPicPr>
        <xdr:cNvPr id="506" name="ID_7B38AF49E09840DFB7FE093DB8723020"/>
        <xdr:cNvPicPr>
          <a:picLocks noChangeAspect="1"/>
        </xdr:cNvPicPr>
      </xdr:nvPicPr>
      <xdr:blipFill>
        <a:blip r:embed="rId490"/>
        <a:stretch>
          <a:fillRect/>
        </a:stretch>
      </xdr:blipFill>
      <xdr:spPr>
        <a:xfrm>
          <a:off x="12482195" y="981125165"/>
          <a:ext cx="1852295" cy="1855470"/>
        </a:xfrm>
        <a:prstGeom prst="rect">
          <a:avLst/>
        </a:prstGeom>
        <a:noFill/>
        <a:ln w="9525">
          <a:noFill/>
        </a:ln>
      </xdr:spPr>
    </xdr:pic>
  </etc:cellImage>
  <etc:cellImage>
    <xdr:pic>
      <xdr:nvPicPr>
        <xdr:cNvPr id="507" name="ID_AB36E3CFA9DF46ED9DEA89A26144E5C5"/>
        <xdr:cNvPicPr>
          <a:picLocks noChangeAspect="1"/>
        </xdr:cNvPicPr>
      </xdr:nvPicPr>
      <xdr:blipFill>
        <a:blip r:embed="rId491"/>
        <a:stretch>
          <a:fillRect/>
        </a:stretch>
      </xdr:blipFill>
      <xdr:spPr>
        <a:xfrm rot="5400000">
          <a:off x="12442825" y="983246700"/>
          <a:ext cx="1931035" cy="1922145"/>
        </a:xfrm>
        <a:prstGeom prst="rect">
          <a:avLst/>
        </a:prstGeom>
        <a:noFill/>
        <a:ln w="9525">
          <a:noFill/>
        </a:ln>
      </xdr:spPr>
    </xdr:pic>
  </etc:cellImage>
  <etc:cellImage>
    <xdr:pic>
      <xdr:nvPicPr>
        <xdr:cNvPr id="508" name="ID_87545DCA454B4DE2A9A0D080832EB880"/>
        <xdr:cNvPicPr>
          <a:picLocks noChangeAspect="1"/>
        </xdr:cNvPicPr>
      </xdr:nvPicPr>
      <xdr:blipFill>
        <a:blip r:embed="rId492"/>
        <a:stretch>
          <a:fillRect/>
        </a:stretch>
      </xdr:blipFill>
      <xdr:spPr>
        <a:xfrm>
          <a:off x="12432665" y="985392365"/>
          <a:ext cx="1949450" cy="1948180"/>
        </a:xfrm>
        <a:prstGeom prst="rect">
          <a:avLst/>
        </a:prstGeom>
        <a:noFill/>
        <a:ln w="9525">
          <a:noFill/>
        </a:ln>
      </xdr:spPr>
    </xdr:pic>
  </etc:cellImage>
  <etc:cellImage>
    <xdr:pic>
      <xdr:nvPicPr>
        <xdr:cNvPr id="509" name="ID_5D16B8BEA4A3463F9B9D22781D2C2049" descr="大蒜6.0"/>
        <xdr:cNvPicPr>
          <a:picLocks noChangeAspect="1"/>
        </xdr:cNvPicPr>
      </xdr:nvPicPr>
      <xdr:blipFill>
        <a:blip r:embed="rId493"/>
        <a:stretch>
          <a:fillRect/>
        </a:stretch>
      </xdr:blipFill>
      <xdr:spPr>
        <a:xfrm flipV="1">
          <a:off x="12359640" y="987509455"/>
          <a:ext cx="2097405" cy="2040890"/>
        </a:xfrm>
        <a:prstGeom prst="rect">
          <a:avLst/>
        </a:prstGeom>
        <a:noFill/>
        <a:ln w="9525">
          <a:noFill/>
        </a:ln>
      </xdr:spPr>
    </xdr:pic>
  </etc:cellImage>
  <etc:cellImage>
    <xdr:pic>
      <xdr:nvPicPr>
        <xdr:cNvPr id="510" name="ID_E4E1F6F958E74FDDBFAD619F123B8870"/>
        <xdr:cNvPicPr>
          <a:picLocks noChangeAspect="1"/>
        </xdr:cNvPicPr>
      </xdr:nvPicPr>
      <xdr:blipFill>
        <a:blip r:embed="rId494"/>
        <a:stretch>
          <a:fillRect/>
        </a:stretch>
      </xdr:blipFill>
      <xdr:spPr>
        <a:xfrm>
          <a:off x="12388850" y="998304455"/>
          <a:ext cx="2038985" cy="2040890"/>
        </a:xfrm>
        <a:prstGeom prst="rect">
          <a:avLst/>
        </a:prstGeom>
        <a:noFill/>
        <a:ln w="9525">
          <a:noFill/>
        </a:ln>
      </xdr:spPr>
    </xdr:pic>
  </etc:cellImage>
  <etc:cellImage>
    <xdr:pic>
      <xdr:nvPicPr>
        <xdr:cNvPr id="511" name="ID_22F8EDB8634E466E9B65F33DB56D1A49" descr="紫洋葱"/>
        <xdr:cNvPicPr>
          <a:picLocks noChangeAspect="1"/>
        </xdr:cNvPicPr>
      </xdr:nvPicPr>
      <xdr:blipFill>
        <a:blip r:embed="rId495"/>
        <a:stretch>
          <a:fillRect/>
        </a:stretch>
      </xdr:blipFill>
      <xdr:spPr>
        <a:xfrm>
          <a:off x="12374245" y="1000446310"/>
          <a:ext cx="2066290" cy="2066290"/>
        </a:xfrm>
        <a:prstGeom prst="rect">
          <a:avLst/>
        </a:prstGeom>
        <a:noFill/>
        <a:ln w="9525">
          <a:noFill/>
        </a:ln>
      </xdr:spPr>
    </xdr:pic>
  </etc:cellImage>
  <etc:cellImage>
    <xdr:pic>
      <xdr:nvPicPr>
        <xdr:cNvPr id="512" name="ID_9F0330FF2E1C4DAB8822D8B0603D3704" descr="老姜"/>
        <xdr:cNvPicPr>
          <a:picLocks noChangeAspect="1"/>
        </xdr:cNvPicPr>
      </xdr:nvPicPr>
      <xdr:blipFill>
        <a:blip r:embed="rId496"/>
        <a:stretch>
          <a:fillRect/>
        </a:stretch>
      </xdr:blipFill>
      <xdr:spPr>
        <a:xfrm>
          <a:off x="12380595" y="1002614200"/>
          <a:ext cx="2058035" cy="2057400"/>
        </a:xfrm>
        <a:prstGeom prst="rect">
          <a:avLst/>
        </a:prstGeom>
        <a:noFill/>
        <a:ln w="9525">
          <a:noFill/>
        </a:ln>
      </xdr:spPr>
    </xdr:pic>
  </etc:cellImage>
  <etc:cellImage>
    <xdr:pic>
      <xdr:nvPicPr>
        <xdr:cNvPr id="513" name="ID_C17DCCA854124151ABA2A6115B6C7C15"/>
        <xdr:cNvPicPr>
          <a:picLocks noChangeAspect="1"/>
        </xdr:cNvPicPr>
      </xdr:nvPicPr>
      <xdr:blipFill>
        <a:blip r:embed="rId497"/>
        <a:stretch>
          <a:fillRect/>
        </a:stretch>
      </xdr:blipFill>
      <xdr:spPr>
        <a:xfrm>
          <a:off x="12399010" y="1104162765"/>
          <a:ext cx="2018665" cy="1898015"/>
        </a:xfrm>
        <a:prstGeom prst="rect">
          <a:avLst/>
        </a:prstGeom>
        <a:noFill/>
        <a:ln w="9525">
          <a:noFill/>
        </a:ln>
      </xdr:spPr>
    </xdr:pic>
  </etc:cellImage>
  <etc:cellImage>
    <xdr:pic>
      <xdr:nvPicPr>
        <xdr:cNvPr id="514" name="ID_3BCA5D438E7D43039E0881841AC25DE4" descr="苦藠"/>
        <xdr:cNvPicPr>
          <a:picLocks noChangeAspect="1"/>
        </xdr:cNvPicPr>
      </xdr:nvPicPr>
      <xdr:blipFill>
        <a:blip r:embed="rId498"/>
        <a:stretch>
          <a:fillRect/>
        </a:stretch>
      </xdr:blipFill>
      <xdr:spPr>
        <a:xfrm>
          <a:off x="12390120" y="1009063895"/>
          <a:ext cx="2106295" cy="2057400"/>
        </a:xfrm>
        <a:prstGeom prst="rect">
          <a:avLst/>
        </a:prstGeom>
        <a:noFill/>
        <a:ln w="9525">
          <a:noFill/>
        </a:ln>
      </xdr:spPr>
    </xdr:pic>
  </etc:cellImage>
  <etc:cellImage>
    <xdr:pic>
      <xdr:nvPicPr>
        <xdr:cNvPr id="515" name="ID_FAB45CC1FCBF4BBBA8B98547A1A5AF8D"/>
        <xdr:cNvPicPr>
          <a:picLocks noChangeAspect="1"/>
        </xdr:cNvPicPr>
      </xdr:nvPicPr>
      <xdr:blipFill>
        <a:blip r:embed="rId499"/>
        <a:srcRect t="20799" b="26602"/>
        <a:stretch>
          <a:fillRect/>
        </a:stretch>
      </xdr:blipFill>
      <xdr:spPr>
        <a:xfrm>
          <a:off x="12380595" y="1076036710"/>
          <a:ext cx="2058035" cy="2024380"/>
        </a:xfrm>
        <a:prstGeom prst="rect">
          <a:avLst/>
        </a:prstGeom>
        <a:noFill/>
        <a:ln w="9525">
          <a:noFill/>
        </a:ln>
      </xdr:spPr>
    </xdr:pic>
  </etc:cellImage>
  <etc:cellImage>
    <xdr:pic>
      <xdr:nvPicPr>
        <xdr:cNvPr id="516" name="ID_C301F277BE804E23AD21A6912E26A183" descr="胡萝卜"/>
        <xdr:cNvPicPr>
          <a:picLocks noChangeAspect="1"/>
        </xdr:cNvPicPr>
      </xdr:nvPicPr>
      <xdr:blipFill>
        <a:blip r:embed="rId500"/>
        <a:stretch>
          <a:fillRect/>
        </a:stretch>
      </xdr:blipFill>
      <xdr:spPr>
        <a:xfrm>
          <a:off x="12376150" y="1022036310"/>
          <a:ext cx="2062480" cy="2066290"/>
        </a:xfrm>
        <a:prstGeom prst="rect">
          <a:avLst/>
        </a:prstGeom>
        <a:noFill/>
        <a:ln w="9525">
          <a:noFill/>
        </a:ln>
      </xdr:spPr>
    </xdr:pic>
  </etc:cellImage>
  <etc:cellImage>
    <xdr:pic>
      <xdr:nvPicPr>
        <xdr:cNvPr id="517" name="ID_CCB88DA5B41049C2BF836046B8F24FE0" descr="长白萝卜"/>
        <xdr:cNvPicPr>
          <a:picLocks noChangeAspect="1"/>
        </xdr:cNvPicPr>
      </xdr:nvPicPr>
      <xdr:blipFill>
        <a:blip r:embed="rId501"/>
        <a:stretch>
          <a:fillRect/>
        </a:stretch>
      </xdr:blipFill>
      <xdr:spPr>
        <a:xfrm>
          <a:off x="12363450" y="1024187055"/>
          <a:ext cx="2089150" cy="2083435"/>
        </a:xfrm>
        <a:prstGeom prst="rect">
          <a:avLst/>
        </a:prstGeom>
        <a:noFill/>
        <a:ln w="9525">
          <a:noFill/>
        </a:ln>
      </xdr:spPr>
    </xdr:pic>
  </etc:cellImage>
  <etc:cellImage>
    <xdr:pic>
      <xdr:nvPicPr>
        <xdr:cNvPr id="519" name="ID_2C807588CE8E4CC3B40DA9E3E7F93D2C"/>
        <xdr:cNvPicPr>
          <a:picLocks noChangeAspect="1"/>
        </xdr:cNvPicPr>
      </xdr:nvPicPr>
      <xdr:blipFill>
        <a:blip r:embed="rId502"/>
        <a:srcRect b="19002"/>
        <a:stretch>
          <a:fillRect/>
        </a:stretch>
      </xdr:blipFill>
      <xdr:spPr>
        <a:xfrm>
          <a:off x="12395200" y="1088982455"/>
          <a:ext cx="2026285" cy="2032635"/>
        </a:xfrm>
        <a:prstGeom prst="rect">
          <a:avLst/>
        </a:prstGeom>
        <a:noFill/>
        <a:ln w="9525">
          <a:noFill/>
        </a:ln>
      </xdr:spPr>
    </xdr:pic>
  </etc:cellImage>
  <etc:cellImage>
    <xdr:pic>
      <xdr:nvPicPr>
        <xdr:cNvPr id="520" name="ID_B96CAB155E6F474F839229E362AA840D" descr="青叶芹"/>
        <xdr:cNvPicPr>
          <a:picLocks noChangeAspect="1"/>
        </xdr:cNvPicPr>
      </xdr:nvPicPr>
      <xdr:blipFill>
        <a:blip r:embed="rId503"/>
        <a:stretch>
          <a:fillRect/>
        </a:stretch>
      </xdr:blipFill>
      <xdr:spPr>
        <a:xfrm>
          <a:off x="12397105" y="1140798455"/>
          <a:ext cx="2022475" cy="2032635"/>
        </a:xfrm>
        <a:prstGeom prst="rect">
          <a:avLst/>
        </a:prstGeom>
        <a:noFill/>
        <a:ln w="9525">
          <a:noFill/>
        </a:ln>
      </xdr:spPr>
    </xdr:pic>
  </etc:cellImage>
  <etc:cellImage>
    <xdr:pic>
      <xdr:nvPicPr>
        <xdr:cNvPr id="521" name="ID_CDA765D8079948798A0FE1BAC0DFF98E" descr="老南瓜"/>
        <xdr:cNvPicPr>
          <a:picLocks noChangeAspect="1"/>
        </xdr:cNvPicPr>
      </xdr:nvPicPr>
      <xdr:blipFill>
        <a:blip r:embed="rId504"/>
        <a:srcRect l="12047" t="39983" r="24977" b="26486"/>
        <a:stretch>
          <a:fillRect/>
        </a:stretch>
      </xdr:blipFill>
      <xdr:spPr>
        <a:xfrm>
          <a:off x="12367895" y="1039325455"/>
          <a:ext cx="2080895" cy="2032635"/>
        </a:xfrm>
        <a:prstGeom prst="rect">
          <a:avLst/>
        </a:prstGeom>
        <a:noFill/>
        <a:ln w="9525">
          <a:noFill/>
        </a:ln>
      </xdr:spPr>
    </xdr:pic>
  </etc:cellImage>
  <etc:cellImage>
    <xdr:pic>
      <xdr:nvPicPr>
        <xdr:cNvPr id="522" name="ID_3EF56F1B85374DCC83FE37A43080CD93" descr="菠菜"/>
        <xdr:cNvPicPr>
          <a:picLocks noChangeAspect="1"/>
        </xdr:cNvPicPr>
      </xdr:nvPicPr>
      <xdr:blipFill>
        <a:blip r:embed="rId505"/>
        <a:stretch>
          <a:fillRect/>
        </a:stretch>
      </xdr:blipFill>
      <xdr:spPr>
        <a:xfrm>
          <a:off x="12378055" y="1142949200"/>
          <a:ext cx="2060575" cy="2057400"/>
        </a:xfrm>
        <a:prstGeom prst="rect">
          <a:avLst/>
        </a:prstGeom>
        <a:noFill/>
        <a:ln w="9525">
          <a:noFill/>
        </a:ln>
      </xdr:spPr>
    </xdr:pic>
  </etc:cellImage>
  <etc:cellImage>
    <xdr:pic>
      <xdr:nvPicPr>
        <xdr:cNvPr id="523" name="ID_97222DDBFD8C4EB69723FBB3F15FBD8F"/>
        <xdr:cNvPicPr>
          <a:picLocks noChangeAspect="1"/>
        </xdr:cNvPicPr>
      </xdr:nvPicPr>
      <xdr:blipFill>
        <a:blip r:embed="rId506"/>
        <a:stretch>
          <a:fillRect/>
        </a:stretch>
      </xdr:blipFill>
      <xdr:spPr>
        <a:xfrm>
          <a:off x="12374245" y="1041467310"/>
          <a:ext cx="2068195" cy="2066290"/>
        </a:xfrm>
        <a:prstGeom prst="rect">
          <a:avLst/>
        </a:prstGeom>
        <a:noFill/>
        <a:ln w="9525">
          <a:noFill/>
        </a:ln>
      </xdr:spPr>
    </xdr:pic>
  </etc:cellImage>
  <etc:cellImage>
    <xdr:pic>
      <xdr:nvPicPr>
        <xdr:cNvPr id="524" name="ID_7E0883148D764938A1E934C5C4540558" descr="小土豆"/>
        <xdr:cNvPicPr>
          <a:picLocks noChangeAspect="1"/>
        </xdr:cNvPicPr>
      </xdr:nvPicPr>
      <xdr:blipFill>
        <a:blip r:embed="rId507"/>
        <a:stretch>
          <a:fillRect/>
        </a:stretch>
      </xdr:blipFill>
      <xdr:spPr>
        <a:xfrm>
          <a:off x="12415520" y="1054489255"/>
          <a:ext cx="1985010" cy="1939290"/>
        </a:xfrm>
        <a:prstGeom prst="rect">
          <a:avLst/>
        </a:prstGeom>
        <a:noFill/>
        <a:ln w="9525">
          <a:noFill/>
        </a:ln>
      </xdr:spPr>
    </xdr:pic>
  </etc:cellImage>
  <etc:cellImage>
    <xdr:pic>
      <xdr:nvPicPr>
        <xdr:cNvPr id="525" name="ID_CB7A2B46120C47A48BD97E4B3C000605"/>
        <xdr:cNvPicPr>
          <a:picLocks noChangeAspect="1"/>
        </xdr:cNvPicPr>
      </xdr:nvPicPr>
      <xdr:blipFill>
        <a:blip r:embed="rId508"/>
        <a:stretch>
          <a:fillRect/>
        </a:stretch>
      </xdr:blipFill>
      <xdr:spPr>
        <a:xfrm>
          <a:off x="12371705" y="1058773600"/>
          <a:ext cx="2072640" cy="2032000"/>
        </a:xfrm>
        <a:prstGeom prst="rect">
          <a:avLst/>
        </a:prstGeom>
        <a:noFill/>
        <a:ln w="9525">
          <a:noFill/>
        </a:ln>
      </xdr:spPr>
    </xdr:pic>
  </etc:cellImage>
  <etc:cellImage>
    <xdr:pic>
      <xdr:nvPicPr>
        <xdr:cNvPr id="526" name="ID_654EAB24B399410B83938B64CB77FE6E"/>
        <xdr:cNvPicPr>
          <a:picLocks noChangeAspect="1"/>
        </xdr:cNvPicPr>
      </xdr:nvPicPr>
      <xdr:blipFill>
        <a:blip r:embed="rId509"/>
        <a:stretch>
          <a:fillRect/>
        </a:stretch>
      </xdr:blipFill>
      <xdr:spPr>
        <a:xfrm>
          <a:off x="12400915" y="1063082710"/>
          <a:ext cx="2014220" cy="2015490"/>
        </a:xfrm>
        <a:prstGeom prst="rect">
          <a:avLst/>
        </a:prstGeom>
        <a:noFill/>
        <a:ln w="9525">
          <a:noFill/>
        </a:ln>
      </xdr:spPr>
    </xdr:pic>
  </etc:cellImage>
  <etc:cellImage>
    <xdr:pic>
      <xdr:nvPicPr>
        <xdr:cNvPr id="527" name="ID_78F33971E4F7402B876A5399263E0D00" descr="大青椒"/>
        <xdr:cNvPicPr>
          <a:picLocks noChangeAspect="1"/>
        </xdr:cNvPicPr>
      </xdr:nvPicPr>
      <xdr:blipFill>
        <a:blip r:embed="rId510"/>
        <a:srcRect r="3998" b="16365"/>
        <a:stretch>
          <a:fillRect/>
        </a:stretch>
      </xdr:blipFill>
      <xdr:spPr>
        <a:xfrm>
          <a:off x="12371705" y="1071718710"/>
          <a:ext cx="2072640" cy="2024380"/>
        </a:xfrm>
        <a:prstGeom prst="rect">
          <a:avLst/>
        </a:prstGeom>
        <a:noFill/>
        <a:ln w="9525">
          <a:noFill/>
        </a:ln>
      </xdr:spPr>
    </xdr:pic>
  </etc:cellImage>
  <etc:cellImage>
    <xdr:pic>
      <xdr:nvPicPr>
        <xdr:cNvPr id="528" name="ID_D6076D213C3045A2A01D7FF49388EA5C"/>
        <xdr:cNvPicPr>
          <a:picLocks noChangeAspect="1"/>
        </xdr:cNvPicPr>
      </xdr:nvPicPr>
      <xdr:blipFill>
        <a:blip r:embed="rId511"/>
        <a:stretch>
          <a:fillRect/>
        </a:stretch>
      </xdr:blipFill>
      <xdr:spPr>
        <a:xfrm>
          <a:off x="12388850" y="1125685455"/>
          <a:ext cx="2038985" cy="2040890"/>
        </a:xfrm>
        <a:prstGeom prst="rect">
          <a:avLst/>
        </a:prstGeom>
        <a:noFill/>
        <a:ln w="9525">
          <a:noFill/>
        </a:ln>
      </xdr:spPr>
    </xdr:pic>
  </etc:cellImage>
  <etc:cellImage>
    <xdr:pic>
      <xdr:nvPicPr>
        <xdr:cNvPr id="530" name="ID_3612E03F6E1C409287AC81D9B497ACEB"/>
        <xdr:cNvPicPr>
          <a:picLocks noChangeAspect="1"/>
        </xdr:cNvPicPr>
      </xdr:nvPicPr>
      <xdr:blipFill>
        <a:blip r:embed="rId512"/>
        <a:stretch>
          <a:fillRect/>
        </a:stretch>
      </xdr:blipFill>
      <xdr:spPr>
        <a:xfrm>
          <a:off x="12419965" y="1073894855"/>
          <a:ext cx="1976755" cy="1981835"/>
        </a:xfrm>
        <a:prstGeom prst="rect">
          <a:avLst/>
        </a:prstGeom>
        <a:noFill/>
        <a:ln w="9525">
          <a:noFill/>
        </a:ln>
      </xdr:spPr>
    </xdr:pic>
  </etc:cellImage>
  <etc:cellImage>
    <xdr:pic>
      <xdr:nvPicPr>
        <xdr:cNvPr id="531" name="ID_368A5ECF834B41CDA199F6E55C798FD0"/>
        <xdr:cNvPicPr>
          <a:picLocks noChangeAspect="1"/>
        </xdr:cNvPicPr>
      </xdr:nvPicPr>
      <xdr:blipFill>
        <a:blip r:embed="rId513"/>
        <a:stretch>
          <a:fillRect/>
        </a:stretch>
      </xdr:blipFill>
      <xdr:spPr>
        <a:xfrm>
          <a:off x="12386310" y="1080380110"/>
          <a:ext cx="2043430" cy="1965325"/>
        </a:xfrm>
        <a:prstGeom prst="rect">
          <a:avLst/>
        </a:prstGeom>
        <a:noFill/>
        <a:ln w="9525">
          <a:noFill/>
        </a:ln>
      </xdr:spPr>
    </xdr:pic>
  </etc:cellImage>
  <etc:cellImage>
    <xdr:pic>
      <xdr:nvPicPr>
        <xdr:cNvPr id="532" name="ID_A107D428639C4296891ADB48396FB0C2" descr="虫草花"/>
        <xdr:cNvPicPr>
          <a:picLocks noChangeAspect="1"/>
        </xdr:cNvPicPr>
      </xdr:nvPicPr>
      <xdr:blipFill>
        <a:blip r:embed="rId514"/>
        <a:stretch>
          <a:fillRect/>
        </a:stretch>
      </xdr:blipFill>
      <xdr:spPr>
        <a:xfrm>
          <a:off x="12363450" y="1086806310"/>
          <a:ext cx="2089150" cy="2075180"/>
        </a:xfrm>
        <a:prstGeom prst="rect">
          <a:avLst/>
        </a:prstGeom>
        <a:noFill/>
        <a:ln w="9525">
          <a:noFill/>
        </a:ln>
      </xdr:spPr>
    </xdr:pic>
  </etc:cellImage>
  <etc:cellImage>
    <xdr:pic>
      <xdr:nvPicPr>
        <xdr:cNvPr id="533" name="ID_5B3303B0B93844DE9A70FE8EA6B1F86D" descr="白金针菇"/>
        <xdr:cNvPicPr>
          <a:picLocks noChangeAspect="1"/>
        </xdr:cNvPicPr>
      </xdr:nvPicPr>
      <xdr:blipFill>
        <a:blip r:embed="rId515"/>
        <a:stretch>
          <a:fillRect/>
        </a:stretch>
      </xdr:blipFill>
      <xdr:spPr>
        <a:xfrm>
          <a:off x="12430125" y="1093325855"/>
          <a:ext cx="1956435" cy="1990090"/>
        </a:xfrm>
        <a:prstGeom prst="rect">
          <a:avLst/>
        </a:prstGeom>
        <a:noFill/>
        <a:ln w="9525">
          <a:noFill/>
        </a:ln>
      </xdr:spPr>
    </xdr:pic>
  </etc:cellImage>
  <etc:cellImage>
    <xdr:pic>
      <xdr:nvPicPr>
        <xdr:cNvPr id="534" name="ID_356102BDEA654751A2DBB651D8FBF56E" descr="鹿茸菇"/>
        <xdr:cNvPicPr>
          <a:picLocks noChangeAspect="1"/>
        </xdr:cNvPicPr>
      </xdr:nvPicPr>
      <xdr:blipFill>
        <a:blip r:embed="rId516"/>
        <a:stretch>
          <a:fillRect/>
        </a:stretch>
      </xdr:blipFill>
      <xdr:spPr>
        <a:xfrm>
          <a:off x="12392660" y="1095451200"/>
          <a:ext cx="2031365" cy="2057400"/>
        </a:xfrm>
        <a:prstGeom prst="rect">
          <a:avLst/>
        </a:prstGeom>
        <a:noFill/>
        <a:ln w="9525">
          <a:noFill/>
        </a:ln>
      </xdr:spPr>
    </xdr:pic>
  </etc:cellImage>
  <etc:cellImage>
    <xdr:pic>
      <xdr:nvPicPr>
        <xdr:cNvPr id="535" name="ID_258960FA65FB48D680191E5E55299A70" descr="蜜薯"/>
        <xdr:cNvPicPr>
          <a:picLocks noChangeAspect="1"/>
        </xdr:cNvPicPr>
      </xdr:nvPicPr>
      <xdr:blipFill>
        <a:blip r:embed="rId517"/>
        <a:srcRect l="11183" t="27733" r="12965" b="19449"/>
        <a:stretch>
          <a:fillRect/>
        </a:stretch>
      </xdr:blipFill>
      <xdr:spPr>
        <a:xfrm>
          <a:off x="12382500" y="1110581980"/>
          <a:ext cx="2084705" cy="2049145"/>
        </a:xfrm>
        <a:prstGeom prst="rect">
          <a:avLst/>
        </a:prstGeom>
        <a:noFill/>
        <a:ln w="9525">
          <a:noFill/>
        </a:ln>
      </xdr:spPr>
    </xdr:pic>
  </etc:cellImage>
  <etc:cellImage>
    <xdr:pic>
      <xdr:nvPicPr>
        <xdr:cNvPr id="536" name="ID_671AE88F4EE3416D8141892BD3082ED3"/>
        <xdr:cNvPicPr>
          <a:picLocks noChangeAspect="1"/>
        </xdr:cNvPicPr>
      </xdr:nvPicPr>
      <xdr:blipFill>
        <a:blip r:embed="rId518"/>
        <a:srcRect t="16748" b="8490"/>
        <a:stretch>
          <a:fillRect/>
        </a:stretch>
      </xdr:blipFill>
      <xdr:spPr>
        <a:xfrm>
          <a:off x="12390755" y="1112723200"/>
          <a:ext cx="2033270" cy="2049145"/>
        </a:xfrm>
        <a:prstGeom prst="rect">
          <a:avLst/>
        </a:prstGeom>
        <a:noFill/>
        <a:ln w="9525">
          <a:noFill/>
        </a:ln>
      </xdr:spPr>
    </xdr:pic>
  </etc:cellImage>
  <etc:cellImage>
    <xdr:pic>
      <xdr:nvPicPr>
        <xdr:cNvPr id="537" name="ID_942A44B9363746BEBC99AB2F1474BA8C" descr="香芋"/>
        <xdr:cNvPicPr>
          <a:picLocks noChangeAspect="1"/>
        </xdr:cNvPicPr>
      </xdr:nvPicPr>
      <xdr:blipFill>
        <a:blip r:embed="rId519"/>
        <a:stretch>
          <a:fillRect/>
        </a:stretch>
      </xdr:blipFill>
      <xdr:spPr>
        <a:xfrm>
          <a:off x="12392660" y="1123518200"/>
          <a:ext cx="2031365" cy="2049145"/>
        </a:xfrm>
        <a:prstGeom prst="rect">
          <a:avLst/>
        </a:prstGeom>
        <a:noFill/>
        <a:ln w="9525">
          <a:noFill/>
        </a:ln>
      </xdr:spPr>
    </xdr:pic>
  </etc:cellImage>
  <etc:cellImage>
    <xdr:pic>
      <xdr:nvPicPr>
        <xdr:cNvPr id="538" name="ID_B2408AB206BB41CCA217CE9B321E4C51" descr="黄豆芽"/>
        <xdr:cNvPicPr>
          <a:picLocks noChangeAspect="1"/>
        </xdr:cNvPicPr>
      </xdr:nvPicPr>
      <xdr:blipFill>
        <a:blip r:embed="rId520"/>
        <a:srcRect l="11362" t="16708" r="7635" b="15790"/>
        <a:stretch>
          <a:fillRect/>
        </a:stretch>
      </xdr:blipFill>
      <xdr:spPr>
        <a:xfrm>
          <a:off x="12376150" y="1132154200"/>
          <a:ext cx="2064385" cy="2057400"/>
        </a:xfrm>
        <a:prstGeom prst="rect">
          <a:avLst/>
        </a:prstGeom>
        <a:noFill/>
        <a:ln w="9525">
          <a:noFill/>
        </a:ln>
      </xdr:spPr>
    </xdr:pic>
  </etc:cellImage>
  <etc:cellImage>
    <xdr:pic>
      <xdr:nvPicPr>
        <xdr:cNvPr id="539" name="ID_10262BE9E11546D5B10FF0F6BBC807D4"/>
        <xdr:cNvPicPr>
          <a:picLocks noChangeAspect="1"/>
        </xdr:cNvPicPr>
      </xdr:nvPicPr>
      <xdr:blipFill>
        <a:blip r:embed="rId521"/>
        <a:stretch>
          <a:fillRect/>
        </a:stretch>
      </xdr:blipFill>
      <xdr:spPr>
        <a:xfrm>
          <a:off x="12380595" y="1136472200"/>
          <a:ext cx="2053590" cy="2057400"/>
        </a:xfrm>
        <a:prstGeom prst="rect">
          <a:avLst/>
        </a:prstGeom>
        <a:noFill/>
        <a:ln w="9525">
          <a:noFill/>
        </a:ln>
      </xdr:spPr>
    </xdr:pic>
  </etc:cellImage>
  <etc:cellImage>
    <xdr:pic>
      <xdr:nvPicPr>
        <xdr:cNvPr id="540" name="ID_5D2A8898832747099890AD097CDE5013" descr="西芹"/>
        <xdr:cNvPicPr>
          <a:picLocks noChangeAspect="1"/>
        </xdr:cNvPicPr>
      </xdr:nvPicPr>
      <xdr:blipFill>
        <a:blip r:embed="rId522"/>
        <a:stretch>
          <a:fillRect/>
        </a:stretch>
      </xdr:blipFill>
      <xdr:spPr>
        <a:xfrm>
          <a:off x="12361545" y="1138622310"/>
          <a:ext cx="2091055" cy="2075180"/>
        </a:xfrm>
        <a:prstGeom prst="rect">
          <a:avLst/>
        </a:prstGeom>
        <a:noFill/>
        <a:ln w="9525">
          <a:noFill/>
        </a:ln>
      </xdr:spPr>
    </xdr:pic>
  </etc:cellImage>
  <etc:cellImage>
    <xdr:pic>
      <xdr:nvPicPr>
        <xdr:cNvPr id="541" name="ID_BBE7C092456F465FAAD003E75861E107" descr="韭黄"/>
        <xdr:cNvPicPr>
          <a:picLocks noChangeAspect="1"/>
        </xdr:cNvPicPr>
      </xdr:nvPicPr>
      <xdr:blipFill>
        <a:blip r:embed="rId523"/>
        <a:srcRect t="3807" r="27527"/>
        <a:stretch>
          <a:fillRect/>
        </a:stretch>
      </xdr:blipFill>
      <xdr:spPr>
        <a:xfrm>
          <a:off x="12365990" y="1147267200"/>
          <a:ext cx="2082800" cy="2049145"/>
        </a:xfrm>
        <a:prstGeom prst="rect">
          <a:avLst/>
        </a:prstGeom>
        <a:noFill/>
        <a:ln w="9525">
          <a:noFill/>
        </a:ln>
      </xdr:spPr>
    </xdr:pic>
  </etc:cellImage>
  <etc:cellImage>
    <xdr:pic>
      <xdr:nvPicPr>
        <xdr:cNvPr id="542" name="ID_BB643CE91D1A419199FE16AC486F5F71" descr="折耳根"/>
        <xdr:cNvPicPr>
          <a:picLocks noChangeAspect="1"/>
        </xdr:cNvPicPr>
      </xdr:nvPicPr>
      <xdr:blipFill>
        <a:blip r:embed="rId524"/>
        <a:stretch>
          <a:fillRect/>
        </a:stretch>
      </xdr:blipFill>
      <xdr:spPr>
        <a:xfrm>
          <a:off x="12355195" y="1171016200"/>
          <a:ext cx="2106295" cy="2049145"/>
        </a:xfrm>
        <a:prstGeom prst="rect">
          <a:avLst/>
        </a:prstGeom>
        <a:noFill/>
        <a:ln w="9525">
          <a:noFill/>
        </a:ln>
      </xdr:spPr>
    </xdr:pic>
  </etc:cellImage>
  <etc:cellImage>
    <xdr:pic>
      <xdr:nvPicPr>
        <xdr:cNvPr id="543" name="ID_F5F12BB1C60E4DF1B7944A39755E8954"/>
        <xdr:cNvPicPr>
          <a:picLocks noChangeAspect="1"/>
        </xdr:cNvPicPr>
      </xdr:nvPicPr>
      <xdr:blipFill>
        <a:blip r:embed="rId525"/>
        <a:stretch>
          <a:fillRect/>
        </a:stretch>
      </xdr:blipFill>
      <xdr:spPr>
        <a:xfrm>
          <a:off x="12428220" y="1151635365"/>
          <a:ext cx="1960245" cy="1957070"/>
        </a:xfrm>
        <a:prstGeom prst="rect">
          <a:avLst/>
        </a:prstGeom>
        <a:noFill/>
        <a:ln w="9525">
          <a:noFill/>
        </a:ln>
      </xdr:spPr>
    </xdr:pic>
  </etc:cellImage>
  <etc:cellImage>
    <xdr:pic>
      <xdr:nvPicPr>
        <xdr:cNvPr id="544" name="ID_7B57FD7012F646DEB516852FEB7A24DB" descr="香菜"/>
        <xdr:cNvPicPr>
          <a:picLocks noChangeAspect="1"/>
        </xdr:cNvPicPr>
      </xdr:nvPicPr>
      <xdr:blipFill>
        <a:blip r:embed="rId526"/>
        <a:stretch>
          <a:fillRect/>
        </a:stretch>
      </xdr:blipFill>
      <xdr:spPr>
        <a:xfrm>
          <a:off x="12409805" y="1153777855"/>
          <a:ext cx="1999615" cy="1981835"/>
        </a:xfrm>
        <a:prstGeom prst="rect">
          <a:avLst/>
        </a:prstGeom>
        <a:noFill/>
        <a:ln w="9525">
          <a:noFill/>
        </a:ln>
      </xdr:spPr>
    </xdr:pic>
  </etc:cellImage>
  <etc:cellImage>
    <xdr:pic>
      <xdr:nvPicPr>
        <xdr:cNvPr id="545" name="ID_3F9D9D5379CB4A51BE519D706A488F74" descr="油麦菜"/>
        <xdr:cNvPicPr>
          <a:picLocks noChangeAspect="1"/>
        </xdr:cNvPicPr>
      </xdr:nvPicPr>
      <xdr:blipFill>
        <a:blip r:embed="rId527"/>
        <a:stretch>
          <a:fillRect/>
        </a:stretch>
      </xdr:blipFill>
      <xdr:spPr>
        <a:xfrm>
          <a:off x="12355195" y="1155903200"/>
          <a:ext cx="2106295" cy="2057400"/>
        </a:xfrm>
        <a:prstGeom prst="rect">
          <a:avLst/>
        </a:prstGeom>
        <a:noFill/>
        <a:ln w="9525">
          <a:noFill/>
        </a:ln>
      </xdr:spPr>
    </xdr:pic>
  </etc:cellImage>
  <etc:cellImage>
    <xdr:pic>
      <xdr:nvPicPr>
        <xdr:cNvPr id="547" name="ID_200FA9D6E4794BF384ABB45F1979AAF4" descr="t04c8d279c37e1873c9"/>
        <xdr:cNvPicPr>
          <a:picLocks noChangeAspect="1"/>
        </xdr:cNvPicPr>
      </xdr:nvPicPr>
      <xdr:blipFill>
        <a:blip r:embed="rId528"/>
        <a:stretch>
          <a:fillRect/>
        </a:stretch>
      </xdr:blipFill>
      <xdr:spPr>
        <a:xfrm>
          <a:off x="12355195" y="1162354800"/>
          <a:ext cx="2106295" cy="2108200"/>
        </a:xfrm>
        <a:prstGeom prst="rect">
          <a:avLst/>
        </a:prstGeom>
        <a:noFill/>
        <a:ln w="9525">
          <a:noFill/>
        </a:ln>
      </xdr:spPr>
    </xdr:pic>
  </etc:cellImage>
  <etc:cellImage>
    <xdr:pic>
      <xdr:nvPicPr>
        <xdr:cNvPr id="548" name="ID_72EF3FEA38384B13A64B81CEDF5476CF" descr="黄玉米（带壳）"/>
        <xdr:cNvPicPr>
          <a:picLocks noChangeAspect="1"/>
        </xdr:cNvPicPr>
      </xdr:nvPicPr>
      <xdr:blipFill>
        <a:blip r:embed="rId529"/>
        <a:stretch>
          <a:fillRect/>
        </a:stretch>
      </xdr:blipFill>
      <xdr:spPr>
        <a:xfrm>
          <a:off x="12355195" y="1164530310"/>
          <a:ext cx="2106295" cy="2066290"/>
        </a:xfrm>
        <a:prstGeom prst="rect">
          <a:avLst/>
        </a:prstGeom>
        <a:noFill/>
        <a:ln w="9525">
          <a:noFill/>
        </a:ln>
      </xdr:spPr>
    </xdr:pic>
  </etc:cellImage>
  <etc:cellImage>
    <xdr:pic>
      <xdr:nvPicPr>
        <xdr:cNvPr id="549" name="ID_F30C800668354A1C9EE71D8E4023D51B"/>
        <xdr:cNvPicPr>
          <a:picLocks noChangeAspect="1"/>
        </xdr:cNvPicPr>
      </xdr:nvPicPr>
      <xdr:blipFill>
        <a:blip r:embed="rId530"/>
        <a:stretch>
          <a:fillRect/>
        </a:stretch>
      </xdr:blipFill>
      <xdr:spPr>
        <a:xfrm>
          <a:off x="12395200" y="1166714710"/>
          <a:ext cx="2026285" cy="2024380"/>
        </a:xfrm>
        <a:prstGeom prst="rect">
          <a:avLst/>
        </a:prstGeom>
        <a:noFill/>
        <a:ln w="9525">
          <a:noFill/>
        </a:ln>
      </xdr:spPr>
    </xdr:pic>
  </etc:cellImage>
  <etc:cellImage>
    <xdr:pic>
      <xdr:nvPicPr>
        <xdr:cNvPr id="550" name="ID_D420B87EB4044638A5E34A8D9BCCA3B9" descr="莴笋杆（不带叶）"/>
        <xdr:cNvPicPr>
          <a:picLocks noChangeAspect="1"/>
        </xdr:cNvPicPr>
      </xdr:nvPicPr>
      <xdr:blipFill>
        <a:blip r:embed="rId531"/>
        <a:stretch>
          <a:fillRect/>
        </a:stretch>
      </xdr:blipFill>
      <xdr:spPr>
        <a:xfrm>
          <a:off x="12371705" y="1168865455"/>
          <a:ext cx="2072640" cy="2040890"/>
        </a:xfrm>
        <a:prstGeom prst="rect">
          <a:avLst/>
        </a:prstGeom>
        <a:noFill/>
        <a:ln w="9525">
          <a:noFill/>
        </a:ln>
      </xdr:spPr>
    </xdr:pic>
  </etc:cellImage>
  <etc:cellImage>
    <xdr:pic>
      <xdr:nvPicPr>
        <xdr:cNvPr id="551" name="ID_F03261A804E448D7A90189ED4E0EE970"/>
        <xdr:cNvPicPr>
          <a:picLocks noChangeAspect="1"/>
        </xdr:cNvPicPr>
      </xdr:nvPicPr>
      <xdr:blipFill>
        <a:blip r:embed="rId532"/>
        <a:stretch>
          <a:fillRect/>
        </a:stretch>
      </xdr:blipFill>
      <xdr:spPr>
        <a:xfrm>
          <a:off x="12395200" y="1173183455"/>
          <a:ext cx="2028825" cy="2032635"/>
        </a:xfrm>
        <a:prstGeom prst="rect">
          <a:avLst/>
        </a:prstGeom>
        <a:noFill/>
        <a:ln w="9525">
          <a:noFill/>
        </a:ln>
      </xdr:spPr>
    </xdr:pic>
  </etc:cellImage>
  <etc:cellImage>
    <xdr:pic>
      <xdr:nvPicPr>
        <xdr:cNvPr id="553" name="ID_81F33CB2268A4DCDA6ED13AF17E0AE81"/>
        <xdr:cNvPicPr>
          <a:picLocks noChangeAspect="1"/>
        </xdr:cNvPicPr>
      </xdr:nvPicPr>
      <xdr:blipFill>
        <a:blip r:embed="rId533"/>
        <a:srcRect b="10991"/>
        <a:stretch>
          <a:fillRect/>
        </a:stretch>
      </xdr:blipFill>
      <xdr:spPr>
        <a:xfrm>
          <a:off x="12421870" y="1177484310"/>
          <a:ext cx="1972945" cy="2075180"/>
        </a:xfrm>
        <a:prstGeom prst="rect">
          <a:avLst/>
        </a:prstGeom>
        <a:noFill/>
        <a:ln w="9525">
          <a:noFill/>
        </a:ln>
      </xdr:spPr>
    </xdr:pic>
  </etc:cellImage>
  <etc:cellImage>
    <xdr:pic>
      <xdr:nvPicPr>
        <xdr:cNvPr id="555" name="ID_8C4122C405EE4CE6B809F3DF05032345"/>
        <xdr:cNvPicPr>
          <a:picLocks noChangeAspect="1"/>
        </xdr:cNvPicPr>
      </xdr:nvPicPr>
      <xdr:blipFill>
        <a:blip r:embed="rId534"/>
        <a:stretch>
          <a:fillRect/>
        </a:stretch>
      </xdr:blipFill>
      <xdr:spPr>
        <a:xfrm>
          <a:off x="12363450" y="1183961310"/>
          <a:ext cx="2106295" cy="2075180"/>
        </a:xfrm>
        <a:prstGeom prst="rect">
          <a:avLst/>
        </a:prstGeom>
        <a:noFill/>
        <a:ln w="9525">
          <a:noFill/>
        </a:ln>
      </xdr:spPr>
    </xdr:pic>
  </etc:cellImage>
  <etc:cellImage>
    <xdr:pic>
      <xdr:nvPicPr>
        <xdr:cNvPr id="556" name="ID_27C56290143F46368DD2BCFD09F747A7"/>
        <xdr:cNvPicPr>
          <a:picLocks noChangeAspect="1"/>
        </xdr:cNvPicPr>
      </xdr:nvPicPr>
      <xdr:blipFill>
        <a:blip r:embed="rId535"/>
        <a:stretch>
          <a:fillRect/>
        </a:stretch>
      </xdr:blipFill>
      <xdr:spPr>
        <a:xfrm>
          <a:off x="12374245" y="1194798855"/>
          <a:ext cx="1986915" cy="1846580"/>
        </a:xfrm>
        <a:prstGeom prst="rect">
          <a:avLst/>
        </a:prstGeom>
        <a:noFill/>
        <a:ln w="9525">
          <a:noFill/>
        </a:ln>
      </xdr:spPr>
    </xdr:pic>
  </etc:cellImage>
  <etc:cellImage>
    <xdr:pic>
      <xdr:nvPicPr>
        <xdr:cNvPr id="560" name="ID_2EF0F6ADFAE64DADADC9EB78C3343114"/>
        <xdr:cNvPicPr>
          <a:picLocks noChangeAspect="1"/>
        </xdr:cNvPicPr>
      </xdr:nvPicPr>
      <xdr:blipFill>
        <a:blip r:embed="rId536"/>
        <a:stretch>
          <a:fillRect/>
        </a:stretch>
      </xdr:blipFill>
      <xdr:spPr>
        <a:xfrm>
          <a:off x="12357735" y="1212037200"/>
          <a:ext cx="2080895" cy="2015490"/>
        </a:xfrm>
        <a:prstGeom prst="rect">
          <a:avLst/>
        </a:prstGeom>
        <a:noFill/>
        <a:ln w="9525">
          <a:noFill/>
        </a:ln>
      </xdr:spPr>
    </xdr:pic>
  </etc:cellImage>
  <etc:cellImage>
    <xdr:pic>
      <xdr:nvPicPr>
        <xdr:cNvPr id="561" name="ID_AFF5A30A03524E1FB7365845EDC06CCE"/>
        <xdr:cNvPicPr>
          <a:picLocks noChangeAspect="1"/>
        </xdr:cNvPicPr>
      </xdr:nvPicPr>
      <xdr:blipFill>
        <a:blip r:embed="rId537"/>
        <a:srcRect t="10558" b="23940"/>
        <a:stretch>
          <a:fillRect/>
        </a:stretch>
      </xdr:blipFill>
      <xdr:spPr>
        <a:xfrm>
          <a:off x="12359640" y="1214415275"/>
          <a:ext cx="2097405" cy="1610995"/>
        </a:xfrm>
        <a:prstGeom prst="rect">
          <a:avLst/>
        </a:prstGeom>
        <a:noFill/>
        <a:ln w="9525">
          <a:noFill/>
        </a:ln>
      </xdr:spPr>
    </xdr:pic>
  </etc:cellImage>
  <etc:cellImage>
    <xdr:pic>
      <xdr:nvPicPr>
        <xdr:cNvPr id="562" name="ID_BC746B9CE4EB4F07B691C8ECD5328746"/>
        <xdr:cNvPicPr>
          <a:picLocks noChangeAspect="1"/>
        </xdr:cNvPicPr>
      </xdr:nvPicPr>
      <xdr:blipFill>
        <a:blip r:embed="rId538"/>
        <a:stretch>
          <a:fillRect/>
        </a:stretch>
      </xdr:blipFill>
      <xdr:spPr>
        <a:xfrm>
          <a:off x="12395200" y="1218556110"/>
          <a:ext cx="1986915" cy="1990090"/>
        </a:xfrm>
        <a:prstGeom prst="rect">
          <a:avLst/>
        </a:prstGeom>
        <a:noFill/>
        <a:ln w="9525">
          <a:noFill/>
        </a:ln>
      </xdr:spPr>
    </xdr:pic>
  </etc:cellImage>
  <etc:cellImage>
    <xdr:pic>
      <xdr:nvPicPr>
        <xdr:cNvPr id="564" name="ID_13F4333B0999436B9D974F19F5EC6470"/>
        <xdr:cNvPicPr>
          <a:picLocks noChangeAspect="1"/>
        </xdr:cNvPicPr>
      </xdr:nvPicPr>
      <xdr:blipFill>
        <a:blip r:embed="rId539"/>
        <a:srcRect b="22679"/>
        <a:stretch>
          <a:fillRect/>
        </a:stretch>
      </xdr:blipFill>
      <xdr:spPr>
        <a:xfrm>
          <a:off x="12395200" y="1222815055"/>
          <a:ext cx="2026285" cy="2091690"/>
        </a:xfrm>
        <a:prstGeom prst="rect">
          <a:avLst/>
        </a:prstGeom>
        <a:noFill/>
        <a:ln w="9525">
          <a:noFill/>
        </a:ln>
      </xdr:spPr>
    </xdr:pic>
  </etc:cellImage>
  <etc:cellImage>
    <xdr:pic>
      <xdr:nvPicPr>
        <xdr:cNvPr id="565" name="ID_464B7F4383814EC886812AF1F6D3B4BD" descr="黔食荟 北纬22°蜜 小米蕉 新鲜水果生鲜 小米蕉 9斤装【图片 价格 品牌 评论】-京东"/>
        <xdr:cNvPicPr>
          <a:picLocks noChangeAspect="1"/>
        </xdr:cNvPicPr>
      </xdr:nvPicPr>
      <xdr:blipFill>
        <a:blip r:embed="rId540"/>
        <a:srcRect l="3349" r="7927" b="8617"/>
        <a:stretch>
          <a:fillRect/>
        </a:stretch>
      </xdr:blipFill>
      <xdr:spPr>
        <a:xfrm>
          <a:off x="12365990" y="1227166710"/>
          <a:ext cx="2082800" cy="2015490"/>
        </a:xfrm>
        <a:prstGeom prst="rect">
          <a:avLst/>
        </a:prstGeom>
        <a:noFill/>
        <a:ln w="9525">
          <a:noFill/>
        </a:ln>
      </xdr:spPr>
    </xdr:pic>
  </etc:cellImage>
  <etc:cellImage>
    <xdr:pic>
      <xdr:nvPicPr>
        <xdr:cNvPr id="566" name="ID_F1CC9359D3B1432D9371B3230F0D3388"/>
        <xdr:cNvPicPr>
          <a:picLocks noChangeAspect="1"/>
        </xdr:cNvPicPr>
      </xdr:nvPicPr>
      <xdr:blipFill>
        <a:blip r:embed="rId541"/>
        <a:stretch>
          <a:fillRect/>
        </a:stretch>
      </xdr:blipFill>
      <xdr:spPr>
        <a:xfrm>
          <a:off x="12363450" y="1229309200"/>
          <a:ext cx="2089150" cy="2057400"/>
        </a:xfrm>
        <a:prstGeom prst="rect">
          <a:avLst/>
        </a:prstGeom>
        <a:noFill/>
        <a:ln w="9525">
          <a:noFill/>
        </a:ln>
      </xdr:spPr>
    </xdr:pic>
  </etc:cellImage>
  <etc:cellImage>
    <xdr:pic>
      <xdr:nvPicPr>
        <xdr:cNvPr id="568" name="ID_4BE608F6C37E46379DFA5D6D1C19CD0C" descr="t010665d565a5e7b566"/>
        <xdr:cNvPicPr>
          <a:picLocks noChangeAspect="1"/>
        </xdr:cNvPicPr>
      </xdr:nvPicPr>
      <xdr:blipFill>
        <a:blip r:embed="rId542"/>
        <a:stretch>
          <a:fillRect/>
        </a:stretch>
      </xdr:blipFill>
      <xdr:spPr>
        <a:xfrm>
          <a:off x="12359640" y="1235769055"/>
          <a:ext cx="2095500" cy="2091690"/>
        </a:xfrm>
        <a:prstGeom prst="rect">
          <a:avLst/>
        </a:prstGeom>
        <a:noFill/>
        <a:ln w="9525">
          <a:noFill/>
        </a:ln>
      </xdr:spPr>
    </xdr:pic>
  </etc:cellImage>
  <etc:cellImage>
    <xdr:pic>
      <xdr:nvPicPr>
        <xdr:cNvPr id="569" name="ID_C183FC4A756945CD908CD4E8DBD3A9EC"/>
        <xdr:cNvPicPr>
          <a:picLocks noChangeAspect="1"/>
        </xdr:cNvPicPr>
      </xdr:nvPicPr>
      <xdr:blipFill>
        <a:blip r:embed="rId543"/>
        <a:stretch>
          <a:fillRect/>
        </a:stretch>
      </xdr:blipFill>
      <xdr:spPr>
        <a:xfrm>
          <a:off x="12423775" y="1240415985"/>
          <a:ext cx="2000250" cy="1205865"/>
        </a:xfrm>
        <a:prstGeom prst="rect">
          <a:avLst/>
        </a:prstGeom>
        <a:noFill/>
        <a:ln w="9525">
          <a:noFill/>
        </a:ln>
      </xdr:spPr>
    </xdr:pic>
  </etc:cellImage>
  <etc:cellImage>
    <xdr:pic>
      <xdr:nvPicPr>
        <xdr:cNvPr id="2" name="ID_AD8640E878774B6F9B369A5753C33412"/>
        <xdr:cNvPicPr>
          <a:picLocks noChangeAspect="1"/>
        </xdr:cNvPicPr>
      </xdr:nvPicPr>
      <xdr:blipFill>
        <a:blip r:embed="rId544"/>
        <a:stretch>
          <a:fillRect/>
        </a:stretch>
      </xdr:blipFill>
      <xdr:spPr>
        <a:xfrm>
          <a:off x="8345170" y="4352925"/>
          <a:ext cx="2209800" cy="2724150"/>
        </a:xfrm>
        <a:prstGeom prst="rect">
          <a:avLst/>
        </a:prstGeom>
        <a:noFill/>
        <a:ln w="9525">
          <a:noFill/>
        </a:ln>
      </xdr:spPr>
    </xdr:pic>
  </etc:cellImage>
  <etc:cellImage>
    <xdr:pic>
      <xdr:nvPicPr>
        <xdr:cNvPr id="3" name="ID_D36FADC1370D4FC8A4681107ADED2040" descr="ZZDB0080"/>
        <xdr:cNvPicPr>
          <a:picLocks noChangeAspect="1"/>
        </xdr:cNvPicPr>
      </xdr:nvPicPr>
      <xdr:blipFill>
        <a:blip r:embed="rId545"/>
        <a:stretch>
          <a:fillRect/>
        </a:stretch>
      </xdr:blipFill>
      <xdr:spPr>
        <a:xfrm>
          <a:off x="7519670" y="9004300"/>
          <a:ext cx="838200" cy="557530"/>
        </a:xfrm>
        <a:prstGeom prst="rect">
          <a:avLst/>
        </a:prstGeom>
      </xdr:spPr>
    </xdr:pic>
  </etc:cellImage>
  <etc:cellImage>
    <xdr:pic>
      <xdr:nvPicPr>
        <xdr:cNvPr id="4" name="ID_E264A704FF1543868464B35356204CFC"/>
        <xdr:cNvPicPr>
          <a:picLocks noChangeAspect="1"/>
        </xdr:cNvPicPr>
      </xdr:nvPicPr>
      <xdr:blipFill>
        <a:blip r:embed="rId546"/>
        <a:stretch>
          <a:fillRect/>
        </a:stretch>
      </xdr:blipFill>
      <xdr:spPr>
        <a:xfrm>
          <a:off x="5952490" y="33747075"/>
          <a:ext cx="449580" cy="457200"/>
        </a:xfrm>
        <a:prstGeom prst="rect">
          <a:avLst/>
        </a:prstGeom>
        <a:noFill/>
        <a:ln w="9525">
          <a:noFill/>
        </a:ln>
      </xdr:spPr>
    </xdr:pic>
  </etc:cellImage>
  <etc:cellImage>
    <xdr:pic>
      <xdr:nvPicPr>
        <xdr:cNvPr id="46" name="ID_39F2E35DCC9F42918FF949465F59DE51"/>
        <xdr:cNvPicPr>
          <a:picLocks noChangeAspect="1"/>
        </xdr:cNvPicPr>
      </xdr:nvPicPr>
      <xdr:blipFill>
        <a:blip r:embed="rId547"/>
        <a:stretch>
          <a:fillRect/>
        </a:stretch>
      </xdr:blipFill>
      <xdr:spPr>
        <a:xfrm rot="16200000">
          <a:off x="7954645" y="11322685"/>
          <a:ext cx="1000125" cy="1267460"/>
        </a:xfrm>
        <a:prstGeom prst="rect">
          <a:avLst/>
        </a:prstGeom>
      </xdr:spPr>
    </xdr:pic>
  </etc:cellImage>
  <etc:cellImage>
    <xdr:pic>
      <xdr:nvPicPr>
        <xdr:cNvPr id="119" name="ID_4C87A093035B45FCAFA525D3979501D5"/>
        <xdr:cNvPicPr>
          <a:picLocks noChangeAspect="1"/>
        </xdr:cNvPicPr>
      </xdr:nvPicPr>
      <xdr:blipFill>
        <a:blip r:embed="rId548"/>
        <a:stretch>
          <a:fillRect/>
        </a:stretch>
      </xdr:blipFill>
      <xdr:spPr>
        <a:xfrm>
          <a:off x="5953125" y="34467800"/>
          <a:ext cx="533400" cy="504825"/>
        </a:xfrm>
        <a:prstGeom prst="rect">
          <a:avLst/>
        </a:prstGeom>
        <a:noFill/>
        <a:ln w="9525">
          <a:noFill/>
        </a:ln>
      </xdr:spPr>
    </xdr:pic>
  </etc:cellImage>
  <etc:cellImage>
    <xdr:pic>
      <xdr:nvPicPr>
        <xdr:cNvPr id="142" name="ID_2C0A8A27F3C94489B127B65132467B0E"/>
        <xdr:cNvPicPr>
          <a:picLocks noChangeAspect="1"/>
        </xdr:cNvPicPr>
      </xdr:nvPicPr>
      <xdr:blipFill>
        <a:blip r:embed="rId549"/>
        <a:stretch>
          <a:fillRect/>
        </a:stretch>
      </xdr:blipFill>
      <xdr:spPr>
        <a:xfrm>
          <a:off x="7524115" y="13635990"/>
          <a:ext cx="1093470" cy="1274445"/>
        </a:xfrm>
        <a:prstGeom prst="rect">
          <a:avLst/>
        </a:prstGeom>
      </xdr:spPr>
    </xdr:pic>
  </etc:cellImage>
  <etc:cellImage>
    <xdr:pic>
      <xdr:nvPicPr>
        <xdr:cNvPr id="236" name="ID_66E1CE33B7AB419F8B8D298812BA5D4B"/>
        <xdr:cNvPicPr>
          <a:picLocks noChangeAspect="1"/>
        </xdr:cNvPicPr>
      </xdr:nvPicPr>
      <xdr:blipFill>
        <a:blip r:embed="rId550"/>
        <a:stretch>
          <a:fillRect/>
        </a:stretch>
      </xdr:blipFill>
      <xdr:spPr>
        <a:xfrm>
          <a:off x="8440420" y="3343275"/>
          <a:ext cx="4076700" cy="3219450"/>
        </a:xfrm>
        <a:prstGeom prst="rect">
          <a:avLst/>
        </a:prstGeom>
        <a:noFill/>
        <a:ln w="9525">
          <a:noFill/>
        </a:ln>
      </xdr:spPr>
    </xdr:pic>
  </etc:cellImage>
  <etc:cellImage>
    <xdr:pic>
      <xdr:nvPicPr>
        <xdr:cNvPr id="320" name="ID_DC92AF0615F5480287C9157195EBD8CD"/>
        <xdr:cNvPicPr>
          <a:picLocks noChangeAspect="1"/>
        </xdr:cNvPicPr>
      </xdr:nvPicPr>
      <xdr:blipFill>
        <a:blip r:embed="rId551"/>
        <a:stretch>
          <a:fillRect/>
        </a:stretch>
      </xdr:blipFill>
      <xdr:spPr>
        <a:xfrm>
          <a:off x="8331200" y="2743200"/>
          <a:ext cx="2419350" cy="3257550"/>
        </a:xfrm>
        <a:prstGeom prst="rect">
          <a:avLst/>
        </a:prstGeom>
        <a:noFill/>
        <a:ln w="9525">
          <a:noFill/>
        </a:ln>
      </xdr:spPr>
    </xdr:pic>
  </etc:cellImage>
  <etc:cellImage>
    <xdr:pic>
      <xdr:nvPicPr>
        <xdr:cNvPr id="373" name="ID_A8F5BB078E40457C9661F23AF9D3F9A9"/>
        <xdr:cNvPicPr>
          <a:picLocks noChangeAspect="1"/>
        </xdr:cNvPicPr>
      </xdr:nvPicPr>
      <xdr:blipFill>
        <a:blip r:embed="rId552"/>
        <a:stretch>
          <a:fillRect/>
        </a:stretch>
      </xdr:blipFill>
      <xdr:spPr>
        <a:xfrm>
          <a:off x="7590790" y="751205"/>
          <a:ext cx="1245870" cy="935990"/>
        </a:xfrm>
        <a:prstGeom prst="rect">
          <a:avLst/>
        </a:prstGeom>
      </xdr:spPr>
    </xdr:pic>
  </etc:cellImage>
  <etc:cellImage>
    <xdr:pic>
      <xdr:nvPicPr>
        <xdr:cNvPr id="491" name="ID_78AE944D98D244AF86C234E248021C9E"/>
        <xdr:cNvPicPr>
          <a:picLocks noChangeAspect="1"/>
        </xdr:cNvPicPr>
      </xdr:nvPicPr>
      <xdr:blipFill>
        <a:blip r:embed="rId553"/>
        <a:stretch>
          <a:fillRect/>
        </a:stretch>
      </xdr:blipFill>
      <xdr:spPr>
        <a:xfrm>
          <a:off x="8316595" y="3962400"/>
          <a:ext cx="2438400" cy="3086100"/>
        </a:xfrm>
        <a:prstGeom prst="rect">
          <a:avLst/>
        </a:prstGeom>
        <a:noFill/>
        <a:ln w="9525">
          <a:noFill/>
        </a:ln>
      </xdr:spPr>
    </xdr:pic>
  </etc:cellImage>
  <etc:cellImage>
    <xdr:pic>
      <xdr:nvPicPr>
        <xdr:cNvPr id="492" name="ID_D286E3DCC70448D2A3B148DF8AF9CC19"/>
        <xdr:cNvPicPr>
          <a:picLocks noChangeAspect="1"/>
        </xdr:cNvPicPr>
      </xdr:nvPicPr>
      <xdr:blipFill>
        <a:blip r:embed="rId554"/>
        <a:stretch>
          <a:fillRect/>
        </a:stretch>
      </xdr:blipFill>
      <xdr:spPr>
        <a:xfrm>
          <a:off x="7837170" y="17540605"/>
          <a:ext cx="1252855" cy="999490"/>
        </a:xfrm>
        <a:prstGeom prst="rect">
          <a:avLst/>
        </a:prstGeom>
      </xdr:spPr>
    </xdr:pic>
  </etc:cellImage>
  <etc:cellImage>
    <xdr:pic>
      <xdr:nvPicPr>
        <xdr:cNvPr id="494" name="ID_D26F9A399862494BACDA0A613C5A268D" descr="48c6a9df01b5f50521b765be76f977bb"/>
        <xdr:cNvPicPr>
          <a:picLocks noChangeAspect="1"/>
        </xdr:cNvPicPr>
      </xdr:nvPicPr>
      <xdr:blipFill>
        <a:blip r:embed="rId555"/>
        <a:stretch>
          <a:fillRect/>
        </a:stretch>
      </xdr:blipFill>
      <xdr:spPr>
        <a:xfrm>
          <a:off x="7548245" y="615950"/>
          <a:ext cx="1245235" cy="702945"/>
        </a:xfrm>
        <a:prstGeom prst="rect">
          <a:avLst/>
        </a:prstGeom>
      </xdr:spPr>
    </xdr:pic>
  </etc:cellImage>
  <etc:cellImage>
    <xdr:pic>
      <xdr:nvPicPr>
        <xdr:cNvPr id="518" name="ID_9048A02CDD744C518D425725D79A0C88"/>
        <xdr:cNvPicPr>
          <a:picLocks noChangeAspect="1"/>
        </xdr:cNvPicPr>
      </xdr:nvPicPr>
      <xdr:blipFill>
        <a:blip r:embed="rId556"/>
        <a:stretch>
          <a:fillRect/>
        </a:stretch>
      </xdr:blipFill>
      <xdr:spPr>
        <a:xfrm rot="5400000">
          <a:off x="8021955" y="1536700"/>
          <a:ext cx="544195" cy="1210310"/>
        </a:xfrm>
        <a:prstGeom prst="rect">
          <a:avLst/>
        </a:prstGeom>
      </xdr:spPr>
    </xdr:pic>
  </etc:cellImage>
  <etc:cellImage>
    <xdr:pic>
      <xdr:nvPicPr>
        <xdr:cNvPr id="529" name="ID_6C5491BCB19C409A80FA04E8C74469F2"/>
        <xdr:cNvPicPr>
          <a:picLocks noChangeAspect="1"/>
        </xdr:cNvPicPr>
      </xdr:nvPicPr>
      <xdr:blipFill>
        <a:blip r:embed="rId557"/>
        <a:stretch>
          <a:fillRect/>
        </a:stretch>
      </xdr:blipFill>
      <xdr:spPr>
        <a:xfrm>
          <a:off x="7538720" y="3223895"/>
          <a:ext cx="1234440" cy="817880"/>
        </a:xfrm>
        <a:prstGeom prst="rect">
          <a:avLst/>
        </a:prstGeom>
      </xdr:spPr>
    </xdr:pic>
  </etc:cellImage>
  <etc:cellImage>
    <xdr:pic>
      <xdr:nvPicPr>
        <xdr:cNvPr id="546" name="ID_13C2B8276C42454EA7536F764A2B3690"/>
        <xdr:cNvPicPr>
          <a:picLocks noChangeAspect="1"/>
        </xdr:cNvPicPr>
      </xdr:nvPicPr>
      <xdr:blipFill>
        <a:blip r:embed="rId558"/>
        <a:stretch>
          <a:fillRect/>
        </a:stretch>
      </xdr:blipFill>
      <xdr:spPr>
        <a:xfrm>
          <a:off x="7519670" y="3874135"/>
          <a:ext cx="1201420" cy="941070"/>
        </a:xfrm>
        <a:prstGeom prst="rect">
          <a:avLst/>
        </a:prstGeom>
      </xdr:spPr>
    </xdr:pic>
  </etc:cellImage>
  <etc:cellImage>
    <xdr:pic>
      <xdr:nvPicPr>
        <xdr:cNvPr id="552" name="ID_8E9CC60FFD684743866EEE51B51CAC02"/>
        <xdr:cNvPicPr>
          <a:picLocks noChangeAspect="1"/>
        </xdr:cNvPicPr>
      </xdr:nvPicPr>
      <xdr:blipFill>
        <a:blip r:embed="rId559"/>
        <a:stretch>
          <a:fillRect/>
        </a:stretch>
      </xdr:blipFill>
      <xdr:spPr>
        <a:xfrm>
          <a:off x="7466330" y="4616450"/>
          <a:ext cx="1245870" cy="1196340"/>
        </a:xfrm>
        <a:prstGeom prst="rect">
          <a:avLst/>
        </a:prstGeom>
      </xdr:spPr>
    </xdr:pic>
  </etc:cellImage>
  <etc:cellImage>
    <xdr:pic>
      <xdr:nvPicPr>
        <xdr:cNvPr id="554" name="ID_63C92F4362D24EAB8E228689E4B8A1BE"/>
        <xdr:cNvPicPr>
          <a:picLocks noChangeAspect="1"/>
        </xdr:cNvPicPr>
      </xdr:nvPicPr>
      <xdr:blipFill>
        <a:blip r:embed="rId560"/>
        <a:stretch>
          <a:fillRect/>
        </a:stretch>
      </xdr:blipFill>
      <xdr:spPr>
        <a:xfrm rot="5400000">
          <a:off x="8041005" y="5313045"/>
          <a:ext cx="713105" cy="1245870"/>
        </a:xfrm>
        <a:prstGeom prst="rect">
          <a:avLst/>
        </a:prstGeom>
      </xdr:spPr>
    </xdr:pic>
  </etc:cellImage>
  <etc:cellImage>
    <xdr:pic>
      <xdr:nvPicPr>
        <xdr:cNvPr id="557" name="ID_996D3ECC6685464E96FC13960E4B0659"/>
        <xdr:cNvPicPr>
          <a:picLocks noChangeAspect="1"/>
        </xdr:cNvPicPr>
      </xdr:nvPicPr>
      <xdr:blipFill>
        <a:blip r:embed="rId561"/>
        <a:stretch>
          <a:fillRect/>
        </a:stretch>
      </xdr:blipFill>
      <xdr:spPr>
        <a:xfrm>
          <a:off x="7647940" y="6078855"/>
          <a:ext cx="1256665" cy="776605"/>
        </a:xfrm>
        <a:prstGeom prst="rect">
          <a:avLst/>
        </a:prstGeom>
        <a:noFill/>
        <a:ln w="9525">
          <a:noFill/>
        </a:ln>
      </xdr:spPr>
    </xdr:pic>
  </etc:cellImage>
  <etc:cellImage>
    <xdr:pic>
      <xdr:nvPicPr>
        <xdr:cNvPr id="558" name="ID_94AE5026432E4860BECB20AD6A3C1CE2"/>
        <xdr:cNvPicPr>
          <a:picLocks noChangeAspect="1"/>
        </xdr:cNvPicPr>
      </xdr:nvPicPr>
      <xdr:blipFill>
        <a:blip r:embed="rId562"/>
        <a:stretch>
          <a:fillRect/>
        </a:stretch>
      </xdr:blipFill>
      <xdr:spPr>
        <a:xfrm>
          <a:off x="7547610" y="6689725"/>
          <a:ext cx="1037590" cy="1252220"/>
        </a:xfrm>
        <a:prstGeom prst="rect">
          <a:avLst/>
        </a:prstGeom>
      </xdr:spPr>
    </xdr:pic>
  </etc:cellImage>
  <etc:cellImage>
    <xdr:pic>
      <xdr:nvPicPr>
        <xdr:cNvPr id="559" name="ID_070DD624750F4A1D9BD31E25ABF8EB3C"/>
        <xdr:cNvPicPr>
          <a:picLocks noChangeAspect="1"/>
        </xdr:cNvPicPr>
      </xdr:nvPicPr>
      <xdr:blipFill>
        <a:blip r:embed="rId563"/>
        <a:stretch>
          <a:fillRect/>
        </a:stretch>
      </xdr:blipFill>
      <xdr:spPr>
        <a:xfrm>
          <a:off x="7524115" y="7846695"/>
          <a:ext cx="1245235" cy="694055"/>
        </a:xfrm>
        <a:prstGeom prst="rect">
          <a:avLst/>
        </a:prstGeom>
      </xdr:spPr>
    </xdr:pic>
  </etc:cellImage>
  <etc:cellImage>
    <xdr:pic>
      <xdr:nvPicPr>
        <xdr:cNvPr id="563" name="ID_A8D29AF3B4F9471B8CF475D8FF81FD57"/>
        <xdr:cNvPicPr>
          <a:picLocks noChangeAspect="1"/>
        </xdr:cNvPicPr>
      </xdr:nvPicPr>
      <xdr:blipFill>
        <a:blip r:embed="rId564"/>
        <a:stretch>
          <a:fillRect/>
        </a:stretch>
      </xdr:blipFill>
      <xdr:spPr>
        <a:xfrm>
          <a:off x="7604760" y="8354695"/>
          <a:ext cx="1245235" cy="842010"/>
        </a:xfrm>
        <a:prstGeom prst="rect">
          <a:avLst/>
        </a:prstGeom>
      </xdr:spPr>
    </xdr:pic>
  </etc:cellImage>
  <etc:cellImage>
    <xdr:pic>
      <xdr:nvPicPr>
        <xdr:cNvPr id="567" name="ID_8B069DDA3D584707AC0CDD8733FD282F"/>
        <xdr:cNvPicPr>
          <a:picLocks noChangeAspect="1"/>
        </xdr:cNvPicPr>
      </xdr:nvPicPr>
      <xdr:blipFill>
        <a:blip r:embed="rId565"/>
        <a:stretch>
          <a:fillRect/>
        </a:stretch>
      </xdr:blipFill>
      <xdr:spPr>
        <a:xfrm>
          <a:off x="7633335" y="9565640"/>
          <a:ext cx="1267460" cy="1212850"/>
        </a:xfrm>
        <a:prstGeom prst="rect">
          <a:avLst/>
        </a:prstGeom>
      </xdr:spPr>
    </xdr:pic>
  </etc:cellImage>
  <etc:cellImage>
    <xdr:pic>
      <xdr:nvPicPr>
        <xdr:cNvPr id="570" name="ID_9676BDEDE5114BB79A4F9537F18F728D"/>
        <xdr:cNvPicPr>
          <a:picLocks noChangeAspect="1"/>
        </xdr:cNvPicPr>
      </xdr:nvPicPr>
      <xdr:blipFill>
        <a:blip r:embed="rId566"/>
        <a:stretch>
          <a:fillRect/>
        </a:stretch>
      </xdr:blipFill>
      <xdr:spPr>
        <a:xfrm>
          <a:off x="7491095" y="10508615"/>
          <a:ext cx="1214755" cy="1238885"/>
        </a:xfrm>
        <a:prstGeom prst="rect">
          <a:avLst/>
        </a:prstGeom>
      </xdr:spPr>
    </xdr:pic>
  </etc:cellImage>
  <etc:cellImage>
    <xdr:pic>
      <xdr:nvPicPr>
        <xdr:cNvPr id="571" name="ID_021B5669823C44D88D994FC003A6A320"/>
        <xdr:cNvPicPr>
          <a:picLocks noChangeAspect="1"/>
        </xdr:cNvPicPr>
      </xdr:nvPicPr>
      <xdr:blipFill>
        <a:blip r:embed="rId567"/>
        <a:stretch>
          <a:fillRect/>
        </a:stretch>
      </xdr:blipFill>
      <xdr:spPr>
        <a:xfrm>
          <a:off x="7600315" y="12185015"/>
          <a:ext cx="1245870" cy="869315"/>
        </a:xfrm>
        <a:prstGeom prst="rect">
          <a:avLst/>
        </a:prstGeom>
      </xdr:spPr>
    </xdr:pic>
  </etc:cellImage>
  <etc:cellImage>
    <xdr:pic>
      <xdr:nvPicPr>
        <xdr:cNvPr id="572" name="ID_34E3D4A57387402FAF9E08349C7A8C19"/>
        <xdr:cNvPicPr>
          <a:picLocks noChangeAspect="1"/>
        </xdr:cNvPicPr>
      </xdr:nvPicPr>
      <xdr:blipFill>
        <a:blip r:embed="rId568"/>
        <a:stretch>
          <a:fillRect/>
        </a:stretch>
      </xdr:blipFill>
      <xdr:spPr>
        <a:xfrm>
          <a:off x="7609840" y="12849860"/>
          <a:ext cx="1234440" cy="966470"/>
        </a:xfrm>
        <a:prstGeom prst="rect">
          <a:avLst/>
        </a:prstGeom>
      </xdr:spPr>
    </xdr:pic>
  </etc:cellImage>
  <etc:cellImage>
    <xdr:pic>
      <xdr:nvPicPr>
        <xdr:cNvPr id="573" name="ID_D5B0932DA3D84CFC9BB8162FDC001B24"/>
        <xdr:cNvPicPr>
          <a:picLocks noChangeAspect="1"/>
        </xdr:cNvPicPr>
      </xdr:nvPicPr>
      <xdr:blipFill>
        <a:blip r:embed="rId569"/>
        <a:stretch>
          <a:fillRect/>
        </a:stretch>
      </xdr:blipFill>
      <xdr:spPr>
        <a:xfrm>
          <a:off x="7528560" y="14565630"/>
          <a:ext cx="1245235" cy="882015"/>
        </a:xfrm>
        <a:prstGeom prst="rect">
          <a:avLst/>
        </a:prstGeom>
      </xdr:spPr>
    </xdr:pic>
  </etc:cellImage>
  <etc:cellImage>
    <xdr:pic>
      <xdr:nvPicPr>
        <xdr:cNvPr id="574" name="ID_6DA708B6BDC842ED832987E95B59F5FA"/>
        <xdr:cNvPicPr>
          <a:picLocks noChangeAspect="1"/>
        </xdr:cNvPicPr>
      </xdr:nvPicPr>
      <xdr:blipFill>
        <a:blip r:embed="rId570"/>
        <a:stretch>
          <a:fillRect/>
        </a:stretch>
      </xdr:blipFill>
      <xdr:spPr>
        <a:xfrm>
          <a:off x="7524115" y="16646525"/>
          <a:ext cx="1245870" cy="1024255"/>
        </a:xfrm>
        <a:prstGeom prst="rect">
          <a:avLst/>
        </a:prstGeom>
      </xdr:spPr>
    </xdr:pic>
  </etc:cellImage>
  <etc:cellImage>
    <xdr:pic>
      <xdr:nvPicPr>
        <xdr:cNvPr id="575" name="ID_8AE2318C888B4B64BE1C273D3F91FDFD"/>
        <xdr:cNvPicPr>
          <a:picLocks noChangeAspect="1"/>
        </xdr:cNvPicPr>
      </xdr:nvPicPr>
      <xdr:blipFill>
        <a:blip r:embed="rId571"/>
        <a:stretch>
          <a:fillRect/>
        </a:stretch>
      </xdr:blipFill>
      <xdr:spPr>
        <a:xfrm rot="5400000">
          <a:off x="7792085" y="17816195"/>
          <a:ext cx="1118870" cy="1245235"/>
        </a:xfrm>
        <a:prstGeom prst="rect">
          <a:avLst/>
        </a:prstGeom>
      </xdr:spPr>
    </xdr:pic>
  </etc:cellImage>
  <etc:cellImage>
    <xdr:pic>
      <xdr:nvPicPr>
        <xdr:cNvPr id="576" name="ID_89BA23953BA642668741C79897302850"/>
        <xdr:cNvPicPr>
          <a:picLocks noChangeAspect="1"/>
        </xdr:cNvPicPr>
      </xdr:nvPicPr>
      <xdr:blipFill>
        <a:blip r:embed="rId572"/>
        <a:stretch>
          <a:fillRect/>
        </a:stretch>
      </xdr:blipFill>
      <xdr:spPr>
        <a:xfrm>
          <a:off x="7666990" y="19533870"/>
          <a:ext cx="1244600" cy="1072515"/>
        </a:xfrm>
        <a:prstGeom prst="rect">
          <a:avLst/>
        </a:prstGeom>
      </xdr:spPr>
    </xdr:pic>
  </etc:cellImage>
  <etc:cellImage>
    <xdr:pic>
      <xdr:nvPicPr>
        <xdr:cNvPr id="577" name="ID_00D4616D22B449A294195B362BC39646"/>
        <xdr:cNvPicPr>
          <a:picLocks noChangeAspect="1"/>
        </xdr:cNvPicPr>
      </xdr:nvPicPr>
      <xdr:blipFill>
        <a:blip r:embed="rId573"/>
        <a:stretch>
          <a:fillRect/>
        </a:stretch>
      </xdr:blipFill>
      <xdr:spPr>
        <a:xfrm>
          <a:off x="7771130" y="18806160"/>
          <a:ext cx="1245235" cy="878205"/>
        </a:xfrm>
        <a:prstGeom prst="rect">
          <a:avLst/>
        </a:prstGeom>
      </xdr:spPr>
    </xdr:pic>
  </etc:cellImage>
  <etc:cellImage>
    <xdr:pic>
      <xdr:nvPicPr>
        <xdr:cNvPr id="578" name="ID_4D4E16CF62C34565AF8F8DA48F63BE53"/>
        <xdr:cNvPicPr>
          <a:picLocks noChangeAspect="1"/>
        </xdr:cNvPicPr>
      </xdr:nvPicPr>
      <xdr:blipFill>
        <a:blip r:embed="rId574"/>
        <a:stretch>
          <a:fillRect/>
        </a:stretch>
      </xdr:blipFill>
      <xdr:spPr>
        <a:xfrm>
          <a:off x="8352155" y="18303240"/>
          <a:ext cx="1267460" cy="883285"/>
        </a:xfrm>
        <a:prstGeom prst="rect">
          <a:avLst/>
        </a:prstGeom>
      </xdr:spPr>
    </xdr:pic>
  </etc:cellImage>
  <etc:cellImage>
    <xdr:pic>
      <xdr:nvPicPr>
        <xdr:cNvPr id="579" name="ID_33EC3DE88EA146A396307F263D1F4CFD"/>
        <xdr:cNvPicPr>
          <a:picLocks noChangeAspect="1"/>
        </xdr:cNvPicPr>
      </xdr:nvPicPr>
      <xdr:blipFill>
        <a:blip r:embed="rId575"/>
        <a:stretch>
          <a:fillRect/>
        </a:stretch>
      </xdr:blipFill>
      <xdr:spPr>
        <a:xfrm>
          <a:off x="8375650" y="18960465"/>
          <a:ext cx="972185" cy="1295400"/>
        </a:xfrm>
        <a:prstGeom prst="rect">
          <a:avLst/>
        </a:prstGeom>
      </xdr:spPr>
    </xdr:pic>
  </etc:cellImage>
  <etc:cellImage>
    <xdr:pic>
      <xdr:nvPicPr>
        <xdr:cNvPr id="580" name="ID_73D1631A317841389249B71087A2FDA7"/>
        <xdr:cNvPicPr>
          <a:picLocks noChangeAspect="1"/>
        </xdr:cNvPicPr>
      </xdr:nvPicPr>
      <xdr:blipFill>
        <a:blip r:embed="rId576"/>
        <a:stretch>
          <a:fillRect/>
        </a:stretch>
      </xdr:blipFill>
      <xdr:spPr>
        <a:xfrm>
          <a:off x="9215120" y="3017520"/>
          <a:ext cx="920115" cy="1071880"/>
        </a:xfrm>
        <a:prstGeom prst="rect">
          <a:avLst/>
        </a:prstGeom>
        <a:noFill/>
        <a:ln w="9525">
          <a:noFill/>
        </a:ln>
      </xdr:spPr>
    </xdr:pic>
  </etc:cellImage>
</etc:cellImages>
</file>

<file path=xl/sharedStrings.xml><?xml version="1.0" encoding="utf-8"?>
<sst xmlns="http://schemas.openxmlformats.org/spreadsheetml/2006/main" count="3267" uniqueCount="1384">
  <si>
    <t>序号</t>
  </si>
  <si>
    <t>一级类别</t>
  </si>
  <si>
    <t>二级类别</t>
  </si>
  <si>
    <t>商品名称</t>
  </si>
  <si>
    <t>品牌</t>
  </si>
  <si>
    <t>商品规格</t>
  </si>
  <si>
    <t>建议基准价</t>
  </si>
  <si>
    <t>规格品图片</t>
  </si>
  <si>
    <t>油</t>
  </si>
  <si>
    <t>菜籽油</t>
  </si>
  <si>
    <t>红蜻蜓香菜油5L(非转压榨)</t>
  </si>
  <si>
    <t>红蜻蜓</t>
  </si>
  <si>
    <t>5L/桶</t>
  </si>
  <si>
    <t>金龙鱼非转基因一级菜籽油</t>
  </si>
  <si>
    <t>金龙鱼</t>
  </si>
  <si>
    <t>10L*2/件</t>
  </si>
  <si>
    <t>鲁花厨中香纯香菜籽油（非转基因）</t>
  </si>
  <si>
    <t>鲁花</t>
  </si>
  <si>
    <t>10L/桶</t>
  </si>
  <si>
    <t>红蜻蜓一级菜籽油</t>
  </si>
  <si>
    <t>玉米油</t>
  </si>
  <si>
    <t>红蜻蜓非转基因压榨一级玉米油</t>
  </si>
  <si>
    <t>5L*4/件</t>
  </si>
  <si>
    <t>金龙鱼一级非转基因压榨玉米油</t>
  </si>
  <si>
    <t>鲁花厨中香纯香玉米油（非转基因）</t>
  </si>
  <si>
    <t>鲁花厨中香玉米油（非转基因）</t>
  </si>
  <si>
    <t>米面</t>
  </si>
  <si>
    <t>大米</t>
  </si>
  <si>
    <t>二级大米（绿彩）</t>
  </si>
  <si>
    <t>福殷</t>
  </si>
  <si>
    <t>25kg/袋</t>
  </si>
  <si>
    <t>福殷泰香软米</t>
  </si>
  <si>
    <t>22kg/袋</t>
  </si>
  <si>
    <t>二级大米（蓝彩）</t>
  </si>
  <si>
    <t>江津储粮</t>
  </si>
  <si>
    <t>江津储粮一级粳米</t>
  </si>
  <si>
    <t>人和巴山特米   （一级）</t>
  </si>
  <si>
    <t>人和</t>
  </si>
  <si>
    <t>人和丝苗米25kg（一级）</t>
  </si>
  <si>
    <t>米</t>
  </si>
  <si>
    <t>人和东北珍珠米（一级）</t>
  </si>
  <si>
    <t>人和松花江流域东北珍珠米（一级）</t>
  </si>
  <si>
    <t>元宝牌特选东北珍珠米</t>
  </si>
  <si>
    <t>元宝牌</t>
  </si>
  <si>
    <t>25kg</t>
  </si>
  <si>
    <t>元宝牌巴蜀香米</t>
  </si>
  <si>
    <t>22kg/包</t>
  </si>
  <si>
    <t>面粉</t>
  </si>
  <si>
    <t>福花麦芯小麦粉</t>
  </si>
  <si>
    <t>25KG</t>
  </si>
  <si>
    <t>福花原香馒头粉</t>
  </si>
  <si>
    <t>舞莲超级麦芯粉</t>
  </si>
  <si>
    <t>舞莲</t>
  </si>
  <si>
    <t>舞莲高筋特精面粉</t>
  </si>
  <si>
    <t>香满园800麦芯小麦粉</t>
  </si>
  <si>
    <t>香满园</t>
  </si>
  <si>
    <t>25kg/包</t>
  </si>
  <si>
    <t>金龙鱼家用小麦粉</t>
  </si>
  <si>
    <t>2kg/袋</t>
  </si>
  <si>
    <t>香米</t>
  </si>
  <si>
    <t>鲁花厨中香丝苗香米</t>
  </si>
  <si>
    <t>猪肉</t>
  </si>
  <si>
    <t>骨头类</t>
  </si>
  <si>
    <t>脊骨（龙骨）</t>
  </si>
  <si>
    <t>新鲜，散称，500g,骨多肉少，骨质坚硬、肉色鲜红，无异味</t>
  </si>
  <si>
    <t>带肉筒子骨</t>
  </si>
  <si>
    <t>新鲜，散称，500g，肉质鲜红紧实，骨膜完整，骨髓饱满，无异味，无淤血</t>
  </si>
  <si>
    <t>筒子骨</t>
  </si>
  <si>
    <t>新鲜，散称，500g，骨色鲜红无异味，骨髓饱满不塌陷，无淤血，带少量肉</t>
  </si>
  <si>
    <t>纤排</t>
  </si>
  <si>
    <t>新鲜，散称，500g,外形完整，骨细肉厚，红白分明，形状规整，气味新鲜，</t>
  </si>
  <si>
    <t>猪排骨（通排）</t>
  </si>
  <si>
    <t>新鲜，散称，500g,骨肉均匀，肥瘦适中，色泽红润，结构完整</t>
  </si>
  <si>
    <t>猪爪</t>
  </si>
  <si>
    <t>新鲜，散称，500g,表皮光滑，长度约七寸，无毛无伤，蹄筋完整，肉质紧实，气味新鲜</t>
  </si>
  <si>
    <t>猪蹄（不带膀）</t>
  </si>
  <si>
    <t>新鲜，散称，500g,表皮光滑，皮白饱满，无毛无伤，蹄筋完整，肉质紧实，气味新鲜</t>
  </si>
  <si>
    <t>猪蹄（带膀）</t>
  </si>
  <si>
    <t>新鲜，散称，500g,肉皮色泽白亮并且富有光泽，形态完整，皮厚肉丰，无毛无伤，骨节分明，气味正常</t>
  </si>
  <si>
    <t>内脏</t>
  </si>
  <si>
    <t>猪大肠</t>
  </si>
  <si>
    <t>新鲜，散称，500g,外形完整无破损，乳白色，内壁洁净无残留，无异味（少油）</t>
  </si>
  <si>
    <t>边油</t>
  </si>
  <si>
    <t>新鲜，散称，500g，色白如玉，厚实整齐，气味清香，无血无杂，干爽不腻</t>
  </si>
  <si>
    <t>粉肠</t>
  </si>
  <si>
    <t>散称，500g</t>
  </si>
  <si>
    <t>连铁</t>
  </si>
  <si>
    <t>新鲜，散称，500g,表面色泽深红，有光泽、均匀、饱满、富有弹性，无异味</t>
  </si>
  <si>
    <t>猪大肚</t>
  </si>
  <si>
    <t>新鲜，散称，500g,外形完整无破损，内壁洁净无残留，肥厚有弹性，无异味</t>
  </si>
  <si>
    <t>猪小肠</t>
  </si>
  <si>
    <t>猪肝</t>
  </si>
  <si>
    <t>新鲜，散称，500g,外形完整，品质新鲜，表面光滑润泽，无异味，无凝血块，颜色正常</t>
  </si>
  <si>
    <t>猪心</t>
  </si>
  <si>
    <t>新鲜，散称，500g,外形完整淡红色，脂肪乳白色，有光泽、均匀、饱满、富有弹性，无异味</t>
  </si>
  <si>
    <t>鲜猪血</t>
  </si>
  <si>
    <t>新鲜，散称，500g，凝固成品可用</t>
  </si>
  <si>
    <t>肉类</t>
  </si>
  <si>
    <t>边口</t>
  </si>
  <si>
    <t>整条，带猪腰、边油</t>
  </si>
  <si>
    <t>夹子肉</t>
  </si>
  <si>
    <t>新鲜，散称，500g，肉质细腻湿润，色泽鲜亮，无异味，带外皮</t>
  </si>
  <si>
    <t>二刀肉</t>
  </si>
  <si>
    <t>新鲜，散称，500g，厚薄均匀，色泽鲜红，无淤血、无异味。</t>
  </si>
  <si>
    <t>后腿肉</t>
  </si>
  <si>
    <t>新鲜，散称，500g，色泽红润光亮，指压即复，无异味、无血斑，肥膘占比≤30%</t>
  </si>
  <si>
    <t>里脊肉</t>
  </si>
  <si>
    <t>新鲜，散称，500g,品质新鲜，肉质细腻紧实，无淋巴，有光泽，无异味</t>
  </si>
  <si>
    <t>眉毛肉</t>
  </si>
  <si>
    <t>新鲜，散称，500g，色泽鲜红，脂肪洁白，肉质细腻紧实，无出血点，无异味。</t>
  </si>
  <si>
    <t>三线肉</t>
  </si>
  <si>
    <t>新鲜，散称，500g,外形完整，肥瘦分明，层次清晰，皮薄细腻，弹性紧实，色泽鲜亮，无异味</t>
  </si>
  <si>
    <t>三线肉(精品)</t>
  </si>
  <si>
    <t>新鲜去保肋，散称，500g,外形完整，肥瘦分明，层次清晰，皮薄细腻，弹性紧实，色泽鲜亮，无异味</t>
  </si>
  <si>
    <t>瘦肉</t>
  </si>
  <si>
    <t>新鲜，散称，500g,色泽鲜红均匀，肉质紧实有弹性，表面微干，无渗水无异味</t>
  </si>
  <si>
    <t>猪舌</t>
  </si>
  <si>
    <t>骨头</t>
  </si>
  <si>
    <t>带肉龙骨</t>
  </si>
  <si>
    <t>猪肘</t>
  </si>
  <si>
    <t xml:space="preserve">肥板肉 </t>
  </si>
  <si>
    <t>二线肉</t>
  </si>
  <si>
    <t>二杂猪边口肉</t>
  </si>
  <si>
    <t>二杂猪瘦肉</t>
  </si>
  <si>
    <t>綦江黑猪边口</t>
  </si>
  <si>
    <t>牛羊兔</t>
  </si>
  <si>
    <t>牛肉</t>
  </si>
  <si>
    <t>牛腱子肉（大）</t>
  </si>
  <si>
    <t>新鲜，散称，500g,肉质紧实有弹性，色泽鲜红，无异味</t>
  </si>
  <si>
    <t>带皮牛肉</t>
  </si>
  <si>
    <t>新鲜，散称，500g</t>
  </si>
  <si>
    <t>小渣牛肉</t>
  </si>
  <si>
    <t>大渣牛肉</t>
  </si>
  <si>
    <t>牛肋条</t>
  </si>
  <si>
    <t>牛里脊肉</t>
  </si>
  <si>
    <t>新鲜，散称，500g,肉质细腻，色泽鲜红，无异味，去筋膜</t>
  </si>
  <si>
    <t>牛腩</t>
  </si>
  <si>
    <t>新鲜，散称，500g,肉质红润，肥瘦层次分明，紧实有弹性，无异味</t>
  </si>
  <si>
    <t>鲜牛蹄筋</t>
  </si>
  <si>
    <t>新鲜，散称，500g，色白质厚，弹性十足，无腐无杂，气味正常，干度适中，</t>
  </si>
  <si>
    <t>鲜牛瘦肉</t>
  </si>
  <si>
    <t>新鲜，散称，500g,色泽均匀鲜红，肉质紧实有弹性，指压凹陷部分会立刻恢复，表面微干，无渗水无异味</t>
  </si>
  <si>
    <t>鲜兔</t>
  </si>
  <si>
    <t>鲜兔（带皮）</t>
  </si>
  <si>
    <t>新鲜，散称，500g；去头、去内脏，带外皮，产品为现杀</t>
  </si>
  <si>
    <t>鲜兔（不带皮）</t>
  </si>
  <si>
    <t>新鲜，散称，500g；去头、去内脏，不带外皮，产品为现杀</t>
  </si>
  <si>
    <t>鲜牛尾（不带龙骨）</t>
  </si>
  <si>
    <t>散装</t>
  </si>
  <si>
    <t>禽肉</t>
  </si>
  <si>
    <t>鲜鹅</t>
  </si>
  <si>
    <t>老鹅</t>
  </si>
  <si>
    <t>仔鹅</t>
  </si>
  <si>
    <t>鲜鸽</t>
  </si>
  <si>
    <t>乳鸽</t>
  </si>
  <si>
    <t>广东乳鸽</t>
  </si>
  <si>
    <t>散装（按只售卖）</t>
  </si>
  <si>
    <t>鲜鸡</t>
  </si>
  <si>
    <t>蛋鸡</t>
  </si>
  <si>
    <t>鲜鸡翅</t>
  </si>
  <si>
    <t>鲜鸡腿</t>
  </si>
  <si>
    <t>农家跑山乌鸡</t>
  </si>
  <si>
    <t>新鲜，散称，500g，毛色光亮，活泼好动，肉质紧实有弹性，无病伤，重量达标</t>
  </si>
  <si>
    <t>老母鸡</t>
  </si>
  <si>
    <t>新鲜，散称，500g，眼球饱满，皮色有光，肉质紧实有弹性，无异味，农家散养</t>
  </si>
  <si>
    <t>鲜三黄鸡</t>
  </si>
  <si>
    <t>新鲜，散称，500g，黄皮黄脚，眼球饱满，肉质紧实有弹性，无异味，无粘液</t>
  </si>
  <si>
    <t>鲜鸡翅根40-50g</t>
  </si>
  <si>
    <t>正大</t>
  </si>
  <si>
    <t>10kg/件</t>
  </si>
  <si>
    <t>鲜鸡翅根50g以上</t>
  </si>
  <si>
    <t>鲜鸡琵琶腿120-130g</t>
  </si>
  <si>
    <t>鲜鸡琵琶腿130-150g</t>
  </si>
  <si>
    <t>鲜鸡全腿400g以上</t>
  </si>
  <si>
    <t>鲜鸡胸肉</t>
  </si>
  <si>
    <t>鲜鸭</t>
  </si>
  <si>
    <t>蛋鸭</t>
  </si>
  <si>
    <t>麻鸭</t>
  </si>
  <si>
    <t>农家鸭</t>
  </si>
  <si>
    <t>新鲜，散称，500g，毛色光亮，宰后皮薄脂肪少，肉质紧实呈暗红色</t>
  </si>
  <si>
    <t>仔鸭</t>
  </si>
  <si>
    <t>新鲜，散称，500g，体表完整，皮脂淡黄，肉质鲜红有弹性，无异味</t>
  </si>
  <si>
    <t>鸭血（紧好）</t>
  </si>
  <si>
    <t>蛋类</t>
  </si>
  <si>
    <t>鹌鹑蛋</t>
  </si>
  <si>
    <t>鸡蛋</t>
  </si>
  <si>
    <t>农家鸡蛋</t>
  </si>
  <si>
    <t>新鲜，散称，500g，蛋壳坚实色自然，大小不一，蛋黄饱满橙黄，浓蛋白稠厚，散养无抗</t>
  </si>
  <si>
    <t>鲜鸡蛋</t>
  </si>
  <si>
    <t>新鲜，散称，500g，蛋壳清洁无裂纹，气室小，蛋黄完整隆起，蛋白清澈粘稠</t>
  </si>
  <si>
    <t>正大富硒鸡蛋</t>
  </si>
  <si>
    <t>新鲜，散称，500g，蛋形规整，大小均匀，气室小，富硒含量达标</t>
  </si>
  <si>
    <t>爱乐迪鲜鸡蛋</t>
  </si>
  <si>
    <t>爱乐迪</t>
  </si>
  <si>
    <t>43斤/件</t>
  </si>
  <si>
    <t>爱乐迪五谷杂粮蛋</t>
  </si>
  <si>
    <t>爱乐迪富硒蛋</t>
  </si>
  <si>
    <t>爱乐迪叶黄素蛋</t>
  </si>
  <si>
    <t>正大安全美味蛋</t>
  </si>
  <si>
    <t>42斤/件</t>
  </si>
  <si>
    <t>再制蛋</t>
  </si>
  <si>
    <t>咸鸭蛋</t>
  </si>
  <si>
    <t>个</t>
  </si>
  <si>
    <t>水产类</t>
  </si>
  <si>
    <t>淡水鱼</t>
  </si>
  <si>
    <t>白鲢鱼</t>
  </si>
  <si>
    <t>新鲜，散称，500g，体色银亮，鳞片完整，鳃丝鲜红，眼球饱满清澈，腹部紧实不膨胀</t>
  </si>
  <si>
    <t>草鱼</t>
  </si>
  <si>
    <t>新鲜，散称，500g，体色鲜亮，鳞片完整，鳃丝鲜红，眼球饱满透明，肉质紧实有弹性</t>
  </si>
  <si>
    <t>多宝鱼</t>
  </si>
  <si>
    <t>花鲢鱼</t>
  </si>
  <si>
    <t>新鲜，散称，500g，头大体宽，鳞片完整，鳃鲜红，眼球饱满，肉质紧实</t>
  </si>
  <si>
    <t>黄辣丁</t>
  </si>
  <si>
    <t>新鲜，散称，500g，体色鲜黄，无畸形，眼球饱满，体表粘滑无伤，肉质紧实</t>
  </si>
  <si>
    <t>鲫鱼</t>
  </si>
  <si>
    <t>新鲜，散称，500g，眼球饱满透明，鳃丝鲜红，鳞片完整，体表粘液透明，肉质坚实有弹性</t>
  </si>
  <si>
    <t>鲈鱼</t>
  </si>
  <si>
    <t>新鲜，散称，500g，体色青亮，眼凸清澈，鳃鲜红，鳞片完整，肉质紧实有弹性</t>
  </si>
  <si>
    <t>鲶鱼</t>
  </si>
  <si>
    <t>钳鱼</t>
  </si>
  <si>
    <t>新鲜，散称，500g，体表光滑无鳞呈灰黑，斑点清晰，触感粘滑，须完整</t>
  </si>
  <si>
    <t>虾仁</t>
  </si>
  <si>
    <t>生鲜虾仁</t>
  </si>
  <si>
    <t>小江</t>
  </si>
  <si>
    <t>新鲜,散称，500g</t>
  </si>
  <si>
    <t>调料类</t>
  </si>
  <si>
    <t>醋类</t>
  </si>
  <si>
    <t>保宁一级醋</t>
  </si>
  <si>
    <t>保宁</t>
  </si>
  <si>
    <t>430ml/瓶</t>
  </si>
  <si>
    <t>海天白醋</t>
  </si>
  <si>
    <t>海天</t>
  </si>
  <si>
    <t>1.9L/瓶</t>
  </si>
  <si>
    <t>海天酿造白醋</t>
  </si>
  <si>
    <t>10.5L/桶</t>
  </si>
  <si>
    <t>10.5L*2/桶</t>
  </si>
  <si>
    <t>韩氏瓦缸醋</t>
  </si>
  <si>
    <t>韩氏瓦缸</t>
  </si>
  <si>
    <t>4.3L/桶</t>
  </si>
  <si>
    <t>4.3L*4桶/件</t>
  </si>
  <si>
    <t>韩氏瓦缸晒醋</t>
  </si>
  <si>
    <t>韩式瓦缸</t>
  </si>
  <si>
    <t>500ml/瓶</t>
  </si>
  <si>
    <t>九味佳大红浙醋</t>
  </si>
  <si>
    <t>九味佳</t>
  </si>
  <si>
    <t>600ml*12瓶</t>
  </si>
  <si>
    <t>迈进江津特级醋</t>
  </si>
  <si>
    <t>迈进</t>
  </si>
  <si>
    <t>1.8L/瓶</t>
  </si>
  <si>
    <t>迈进晒醋</t>
  </si>
  <si>
    <t>4.5L/桶</t>
  </si>
  <si>
    <t>4.5L*4/桶</t>
  </si>
  <si>
    <t>千禾白醋</t>
  </si>
  <si>
    <t>千禾</t>
  </si>
  <si>
    <t>千禾陈醋</t>
  </si>
  <si>
    <t>底料</t>
  </si>
  <si>
    <t>高老九番茄汤底料</t>
  </si>
  <si>
    <t>高老九</t>
  </si>
  <si>
    <t>300g/袋</t>
  </si>
  <si>
    <t>辣滋缘麻辣香锅红油</t>
  </si>
  <si>
    <t>辣滋缘</t>
  </si>
  <si>
    <t>3.5kg/桶</t>
  </si>
  <si>
    <t>辣滋缘麻辣香锅料</t>
  </si>
  <si>
    <t>辣滋缘麻辣鱼调料</t>
  </si>
  <si>
    <t>辣滋缘麻辣佐料</t>
  </si>
  <si>
    <t>辣滋缘小面调味粉</t>
  </si>
  <si>
    <t>毛哥酸萝卜老鸭汤</t>
  </si>
  <si>
    <t>毛哥</t>
  </si>
  <si>
    <t>350g/袋</t>
  </si>
  <si>
    <t>毛哥牌</t>
  </si>
  <si>
    <t>30包*350g/件</t>
  </si>
  <si>
    <t>胖子麻辣鱼</t>
  </si>
  <si>
    <t>胖子</t>
  </si>
  <si>
    <t>180g/袋</t>
  </si>
  <si>
    <t>180g*40袋/件</t>
  </si>
  <si>
    <t>桥头火锅底料</t>
  </si>
  <si>
    <t>桥头</t>
  </si>
  <si>
    <t>500g/袋</t>
  </si>
  <si>
    <t>桥头酸菜鱼调料</t>
  </si>
  <si>
    <t>318g/袋</t>
  </si>
  <si>
    <t>桥头香辣干锅调料</t>
  </si>
  <si>
    <t>150g/袋</t>
  </si>
  <si>
    <t>桥头麻辣鱼调料</t>
  </si>
  <si>
    <t>桥头牌</t>
  </si>
  <si>
    <t>40包*200g/件</t>
  </si>
  <si>
    <t>400g*32/件</t>
  </si>
  <si>
    <t>40包*318g/件</t>
  </si>
  <si>
    <t>重庆三五火锅底料</t>
  </si>
  <si>
    <t>三五</t>
  </si>
  <si>
    <t>300g*32包/件</t>
  </si>
  <si>
    <t>300g/包</t>
  </si>
  <si>
    <t>辣滋缘干锅调味料</t>
  </si>
  <si>
    <t>周君记香水鱼料</t>
  </si>
  <si>
    <t>周君记</t>
  </si>
  <si>
    <t>调味油</t>
  </si>
  <si>
    <t>李锦记纯香芝麻油100%纯芝麻油</t>
  </si>
  <si>
    <t>李锦记</t>
  </si>
  <si>
    <t>410ml/瓶</t>
  </si>
  <si>
    <t>幺麻子藤椒油</t>
  </si>
  <si>
    <t>幺麻子</t>
  </si>
  <si>
    <t>金龙鱼纯芝麻油</t>
  </si>
  <si>
    <t>400ml*12瓶/箱</t>
  </si>
  <si>
    <t>富来木姜油50ml</t>
  </si>
  <si>
    <t>富来</t>
  </si>
  <si>
    <t>50ml/瓶</t>
  </si>
  <si>
    <t>顿可芝麻调味油5L</t>
  </si>
  <si>
    <t>顿可</t>
  </si>
  <si>
    <t>豆瓣</t>
  </si>
  <si>
    <t>韩氏瓦缸豆瓣</t>
  </si>
  <si>
    <t>10kg/箱</t>
  </si>
  <si>
    <t>2.5kg/袋</t>
  </si>
  <si>
    <t>韩氏瓦缸老豆瓣</t>
  </si>
  <si>
    <t>960g/瓶</t>
  </si>
  <si>
    <t>960g*6/瓶</t>
  </si>
  <si>
    <t>鹃城红油豆瓣</t>
  </si>
  <si>
    <t>鹃城</t>
  </si>
  <si>
    <t>鹃厨红油豆瓣</t>
  </si>
  <si>
    <t>兆丰豆瓣</t>
  </si>
  <si>
    <t>兆丰</t>
  </si>
  <si>
    <t>4kg/瓶</t>
  </si>
  <si>
    <t>干副类</t>
  </si>
  <si>
    <t>干制农产品</t>
  </si>
  <si>
    <t>干豆瓣</t>
  </si>
  <si>
    <t>迈进干豆瓣</t>
  </si>
  <si>
    <t>50kg/桶</t>
  </si>
  <si>
    <t>巴山红油豆瓣</t>
  </si>
  <si>
    <t>巴山</t>
  </si>
  <si>
    <t>复合调味品</t>
  </si>
  <si>
    <t>百利奥尔良腌料</t>
  </si>
  <si>
    <t>百利</t>
  </si>
  <si>
    <t>1kg/袋</t>
  </si>
  <si>
    <t>百利黑胡椒汁</t>
  </si>
  <si>
    <t>2.3kg*4桶/件</t>
  </si>
  <si>
    <t>潮王咖喱粉</t>
  </si>
  <si>
    <t>潮王</t>
  </si>
  <si>
    <t>454g/包</t>
  </si>
  <si>
    <t>凤球唛番茄酱</t>
  </si>
  <si>
    <t>凤球唛</t>
  </si>
  <si>
    <t>850g/罐</t>
  </si>
  <si>
    <t>850g*12桶</t>
  </si>
  <si>
    <t>海天黄豆酱</t>
  </si>
  <si>
    <t>6kg/桶</t>
  </si>
  <si>
    <t>韩氏瓦缸甜面酱</t>
  </si>
  <si>
    <t>韩氏瓦缸精品甜面酱</t>
  </si>
  <si>
    <t>400g/瓶</t>
  </si>
  <si>
    <t>2.5kg*4/袋</t>
  </si>
  <si>
    <t>好侍百梦多咖喱</t>
  </si>
  <si>
    <t>好侍百梦多</t>
  </si>
  <si>
    <t>100g/盒</t>
  </si>
  <si>
    <t>家乐辣鲜露</t>
  </si>
  <si>
    <t>家乐</t>
  </si>
  <si>
    <t>930g/瓶</t>
  </si>
  <si>
    <t>家乐黑胡椒汁</t>
  </si>
  <si>
    <t>2.3kg</t>
  </si>
  <si>
    <t>君意甜面酱</t>
  </si>
  <si>
    <t>君意</t>
  </si>
  <si>
    <t>7kg</t>
  </si>
  <si>
    <t>君意家乡豆豉</t>
  </si>
  <si>
    <t>150g/包</t>
  </si>
  <si>
    <t>150克*50袋／件</t>
  </si>
  <si>
    <t>辣滋缘油辣子调料</t>
  </si>
  <si>
    <t>辣滋缘牛肉汤锅调味粉</t>
  </si>
  <si>
    <t>500g/包</t>
  </si>
  <si>
    <t>妙多黑胡椒碎</t>
  </si>
  <si>
    <t>妙多</t>
  </si>
  <si>
    <t>405g/瓶</t>
  </si>
  <si>
    <t>桥头五香蒸肉粉</t>
  </si>
  <si>
    <t>220g/袋</t>
  </si>
  <si>
    <t>10kg/袋</t>
  </si>
  <si>
    <t>全宗蒸肉粉（麻辣）</t>
  </si>
  <si>
    <t>全宗</t>
  </si>
  <si>
    <t>全宗蒸肉粉</t>
  </si>
  <si>
    <t>16.8kg/袋</t>
  </si>
  <si>
    <t>圣滋番茄沙司</t>
  </si>
  <si>
    <t>圣滋</t>
  </si>
  <si>
    <t>巨龙窝窝醪糟</t>
  </si>
  <si>
    <t>窝窝醪糟</t>
  </si>
  <si>
    <t>600g*12/罐</t>
  </si>
  <si>
    <t>桥头蒸肉粉</t>
  </si>
  <si>
    <t>50包*220g/箱</t>
  </si>
  <si>
    <t>天国蒸肉粉</t>
  </si>
  <si>
    <t>天国</t>
  </si>
  <si>
    <t>180g/包</t>
  </si>
  <si>
    <t>川香傲干锅调料3.5kg</t>
  </si>
  <si>
    <t>川香傲</t>
  </si>
  <si>
    <t>3.5KG*2桶/件</t>
  </si>
  <si>
    <t>桥头烧鸡公调料160g</t>
  </si>
  <si>
    <t>160g*48袋/件</t>
  </si>
  <si>
    <t>李锦记海天海鲜酱</t>
  </si>
  <si>
    <t>7kg/桶</t>
  </si>
  <si>
    <t>富琳特香辣鸡腌料1kg</t>
  </si>
  <si>
    <t>富琳特</t>
  </si>
  <si>
    <t>20包/件</t>
  </si>
  <si>
    <t>君意香辣酱</t>
  </si>
  <si>
    <t>6.5kg</t>
  </si>
  <si>
    <t>翠宏烧烤调料三合一</t>
  </si>
  <si>
    <t>翠宏</t>
  </si>
  <si>
    <t>250g</t>
  </si>
  <si>
    <t>翠宏烤肉调料（香辣味）</t>
  </si>
  <si>
    <t>400g</t>
  </si>
  <si>
    <t>翠宏烤肉调料（原味）</t>
  </si>
  <si>
    <t>东古排骨酱</t>
  </si>
  <si>
    <t>东古</t>
  </si>
  <si>
    <t>260g*12瓶/件</t>
  </si>
  <si>
    <t>铮阔卤一锅</t>
  </si>
  <si>
    <t>铮阔</t>
  </si>
  <si>
    <t>350g*10包/件</t>
  </si>
  <si>
    <t>500g/瓶</t>
  </si>
  <si>
    <t>蚝油</t>
  </si>
  <si>
    <t>海天蚝油</t>
  </si>
  <si>
    <t>700g/瓶</t>
  </si>
  <si>
    <t>李锦记财神蚝油</t>
  </si>
  <si>
    <t>907g/瓶</t>
  </si>
  <si>
    <t>李锦记味蚝鲜蚝油</t>
  </si>
  <si>
    <t>金龙鱼金标蚝油</t>
  </si>
  <si>
    <t>6kg*2桶/箱</t>
  </si>
  <si>
    <t>鸡精</t>
  </si>
  <si>
    <t>家乐鸡精</t>
  </si>
  <si>
    <t>900g/包</t>
  </si>
  <si>
    <t>莎麦鸡精</t>
  </si>
  <si>
    <t>莎麦</t>
  </si>
  <si>
    <t>454g/袋</t>
  </si>
  <si>
    <t>22包*454g/件</t>
  </si>
  <si>
    <t>酱油类</t>
  </si>
  <si>
    <t>厨邦鲜味生抽</t>
  </si>
  <si>
    <t>厨邦</t>
  </si>
  <si>
    <t>海天酱油草菇老抽</t>
  </si>
  <si>
    <t>海天蒸鱼豉油</t>
  </si>
  <si>
    <t>4.9L/桶</t>
  </si>
  <si>
    <t>4.9L*2/桶</t>
  </si>
  <si>
    <t>海天酱油老抽豉油</t>
  </si>
  <si>
    <t>1.9L*6瓶/件</t>
  </si>
  <si>
    <t>海天老抽酱油</t>
  </si>
  <si>
    <t>500ml*12/瓶</t>
  </si>
  <si>
    <t>海天黄豆酱油</t>
  </si>
  <si>
    <t>1.9L/桶</t>
  </si>
  <si>
    <t>1.9L*6/桶</t>
  </si>
  <si>
    <t>海天金标生抽</t>
  </si>
  <si>
    <t>海天零添加酱油</t>
  </si>
  <si>
    <t>1.28L/桶</t>
  </si>
  <si>
    <t>海天生抽豉油</t>
  </si>
  <si>
    <t>海天生抽酱油</t>
  </si>
  <si>
    <t>海天味极鲜</t>
  </si>
  <si>
    <t>750ml/瓶</t>
  </si>
  <si>
    <t>海天蒸鱼鼔油</t>
  </si>
  <si>
    <t>450ml/瓶</t>
  </si>
  <si>
    <t>1.75L/瓶</t>
  </si>
  <si>
    <t>韩氏瓦缸特级酱油</t>
  </si>
  <si>
    <t>韩氏瓦缸酱油</t>
  </si>
  <si>
    <t>4.3L*4/桶</t>
  </si>
  <si>
    <t>李锦记锦珍老抽</t>
  </si>
  <si>
    <t>李锦记锦珍生抽</t>
  </si>
  <si>
    <t>李锦记蒸鱼豉油</t>
  </si>
  <si>
    <t>李锦记草菇老抽</t>
  </si>
  <si>
    <t>李锦记特级金标生抽</t>
  </si>
  <si>
    <t>迈进江津特级酱油</t>
  </si>
  <si>
    <t>迈进酱油</t>
  </si>
  <si>
    <t>4.5L*4/件</t>
  </si>
  <si>
    <t>千禾生抽</t>
  </si>
  <si>
    <t>黄花园上品原生酱油</t>
  </si>
  <si>
    <t>黄花园</t>
  </si>
  <si>
    <t>1L/瓶</t>
  </si>
  <si>
    <t>黄花园老酱油</t>
  </si>
  <si>
    <t>2kg/桶</t>
  </si>
  <si>
    <t>酱油</t>
  </si>
  <si>
    <t>金龙鱼小面酱油</t>
  </si>
  <si>
    <t>5.7kg*2桶/箱</t>
  </si>
  <si>
    <t>伊品鸿红烧王5L</t>
  </si>
  <si>
    <t>伊品鸿</t>
  </si>
  <si>
    <t>料酒</t>
  </si>
  <si>
    <t>海天料酒</t>
  </si>
  <si>
    <t>海天大厨料酒</t>
  </si>
  <si>
    <t>4.9L*2桶/件</t>
  </si>
  <si>
    <t>千禾料酒</t>
  </si>
  <si>
    <t>5L*2桶</t>
  </si>
  <si>
    <t>卤料</t>
  </si>
  <si>
    <t>二姐卤料</t>
  </si>
  <si>
    <t>二姐</t>
  </si>
  <si>
    <t>56g*50袋</t>
  </si>
  <si>
    <t>二姐卤料酱香味</t>
  </si>
  <si>
    <t>王守义十三香</t>
  </si>
  <si>
    <t>王守义</t>
  </si>
  <si>
    <t>45g/盒</t>
  </si>
  <si>
    <t>自家卤</t>
  </si>
  <si>
    <t>100g/袋</t>
  </si>
  <si>
    <t>面点辅料</t>
  </si>
  <si>
    <t>安琪耐高糖酵母</t>
  </si>
  <si>
    <t>安琪</t>
  </si>
  <si>
    <t>450g*20袋</t>
  </si>
  <si>
    <t>奥昆速冻葡式蛋挞皮（小）</t>
  </si>
  <si>
    <t>奥昆</t>
  </si>
  <si>
    <t>600个/件</t>
  </si>
  <si>
    <t>安琪酵母</t>
  </si>
  <si>
    <t>500g*20包/件</t>
  </si>
  <si>
    <t>百味佳香脆炸粉</t>
  </si>
  <si>
    <t>百味佳</t>
  </si>
  <si>
    <t>1.2kg/包</t>
  </si>
  <si>
    <t>淡奶油（雀巢）</t>
  </si>
  <si>
    <t>雀巢</t>
  </si>
  <si>
    <t>1L/盒</t>
  </si>
  <si>
    <t>百利白色面包糠</t>
  </si>
  <si>
    <t>1kg/包</t>
  </si>
  <si>
    <t>京日红豆沙</t>
  </si>
  <si>
    <t>京日</t>
  </si>
  <si>
    <t>百利黄面包糠</t>
  </si>
  <si>
    <t>1kg*10袋/件</t>
  </si>
  <si>
    <t>蛋糕油（银穗）</t>
  </si>
  <si>
    <t>银穗</t>
  </si>
  <si>
    <t>3kg/桶</t>
  </si>
  <si>
    <t>安琪高活性干酵母450g</t>
  </si>
  <si>
    <t>450g/包</t>
  </si>
  <si>
    <t>糖</t>
  </si>
  <si>
    <t>老红糖</t>
  </si>
  <si>
    <t>桂林麦芽糖</t>
  </si>
  <si>
    <t>临桂天香</t>
  </si>
  <si>
    <t>12kg/件</t>
  </si>
  <si>
    <t>白砂糖</t>
  </si>
  <si>
    <t>散称，500g，颗粒均匀洁白，干燥松散，甜味纯粹，溶解速度快，无结块及肉眼可见杂质</t>
  </si>
  <si>
    <t>黄冰糖</t>
  </si>
  <si>
    <t>散称，500g，晶体均匀，色泽淡黄自然，呈半透明感，甜味纯正清甜，无工业性刺鼻酸味</t>
  </si>
  <si>
    <t>片红糖</t>
  </si>
  <si>
    <t>散称，500g，块形整齐，色泽红褐，砂纹明显，甜味醇厚，具有甘蔗特有的焦香风味，无杂质异味</t>
  </si>
  <si>
    <t>味精</t>
  </si>
  <si>
    <t>国泰味精</t>
  </si>
  <si>
    <t>国泰</t>
  </si>
  <si>
    <t>佳得宝无盐味精</t>
  </si>
  <si>
    <t>佳得宝</t>
  </si>
  <si>
    <t>2.5kg*10包/件</t>
  </si>
  <si>
    <t>天厨无盐味精</t>
  </si>
  <si>
    <t>天厨</t>
  </si>
  <si>
    <t>盐</t>
  </si>
  <si>
    <t>晶心低钠盐</t>
  </si>
  <si>
    <t>晶心</t>
  </si>
  <si>
    <t>400g/袋</t>
  </si>
  <si>
    <t>晶心腌制盐</t>
  </si>
  <si>
    <t>晶心加碘盐</t>
  </si>
  <si>
    <t>1kg*20包／件</t>
  </si>
  <si>
    <t>天渠食用盐</t>
  </si>
  <si>
    <t>天渠</t>
  </si>
  <si>
    <t>400g*50包/件</t>
  </si>
  <si>
    <t>雪天食盐</t>
  </si>
  <si>
    <t>雪天</t>
  </si>
  <si>
    <t>500g*40包/件</t>
  </si>
  <si>
    <t>中盐加碘食用盐</t>
  </si>
  <si>
    <t>中盐</t>
  </si>
  <si>
    <t>400g*50袋</t>
  </si>
  <si>
    <t>淀粉</t>
  </si>
  <si>
    <t>国维食用玉米淀粉</t>
  </si>
  <si>
    <t>国维</t>
  </si>
  <si>
    <t>全宗超级生粉</t>
  </si>
  <si>
    <t>塞上雪生粉</t>
  </si>
  <si>
    <t>塞上雪</t>
  </si>
  <si>
    <t>红薯淀粉</t>
  </si>
  <si>
    <t>散称，500g，色泽灰白，粉质细腻，干燥无结块，无异味，手感爽滑</t>
  </si>
  <si>
    <t>农村葛粉</t>
  </si>
  <si>
    <t>玉米淀粉</t>
  </si>
  <si>
    <t>散称，500g，粉质洁白细腻，干燥无结块，无异味杂质，手感润滑。</t>
  </si>
  <si>
    <t>干副</t>
  </si>
  <si>
    <t>鳄鱼牌木薯淀粉</t>
  </si>
  <si>
    <t>鳄鱼马记</t>
  </si>
  <si>
    <t>豆加工品</t>
  </si>
  <si>
    <t>黄豆面</t>
  </si>
  <si>
    <t>豆类</t>
  </si>
  <si>
    <t>花生米</t>
  </si>
  <si>
    <t>散称，500g，颗粒饱满，色泽粉红自然，衣膜完整，无发芽、霉变、哈喇味与异味</t>
  </si>
  <si>
    <t>瀚鸿大豆王</t>
  </si>
  <si>
    <t>45kg/袋</t>
  </si>
  <si>
    <t>黄豆</t>
  </si>
  <si>
    <t>散称，500g，豆粒圆整饱满，色泽金黄均匀，无破瓣、霉变与杂质，豆腥味淡，蛋白含量高</t>
  </si>
  <si>
    <t>清腾精选绿豆</t>
  </si>
  <si>
    <t>绿豆</t>
  </si>
  <si>
    <t>散称，500g，,颗粒均匀，色泽碧绿有光泽，无皱纹、蛀虫与坏豆，煮易烂，汤色清</t>
  </si>
  <si>
    <t>大白豆</t>
  </si>
  <si>
    <t>散称，500g，豆粒硕大饱满，色泽乳白光亮，皮薄无皱，无破损杂质，炖煮后粉糯香醇</t>
  </si>
  <si>
    <t>饭豆</t>
  </si>
  <si>
    <t>干胡豆</t>
  </si>
  <si>
    <t>散称，500g，豆粒肥大均匀，色泽浅黄或乳白，无虫蛀、黑斑与异味，肉质紧实</t>
  </si>
  <si>
    <t>干豌豆</t>
  </si>
  <si>
    <t>散称，500g，颗粒均匀，色泽淡黄或浅绿，表面光滑无皱，无霉变虫蛀，煮后软糯起沙</t>
  </si>
  <si>
    <t>红豆</t>
  </si>
  <si>
    <t>散称，500g，颗粒饱满均匀，色泽鲜红有光泽，无虫蛀、干瘪与杂质，煮后出沙软糯</t>
  </si>
  <si>
    <t>豆制加工品</t>
  </si>
  <si>
    <t>腐竹</t>
  </si>
  <si>
    <t>散称，500g，色泽淡黄，豆香浓郁，条状均匀，泡发率高，韧性好无碎渣</t>
  </si>
  <si>
    <t>王中王豆皮</t>
  </si>
  <si>
    <t>王中王</t>
  </si>
  <si>
    <t>7.5kg/件</t>
  </si>
  <si>
    <t>豆腐皮</t>
  </si>
  <si>
    <t>散称，500g，色泽淡黄，薄而均匀，韧性好，豆香纯正，无酸败异味</t>
  </si>
  <si>
    <t>方便食品</t>
  </si>
  <si>
    <t>红日子黄金豆</t>
  </si>
  <si>
    <t>红日子</t>
  </si>
  <si>
    <t>1.5kg*6袋/件</t>
  </si>
  <si>
    <t>丽歌智造干意大利面</t>
  </si>
  <si>
    <t>丽歌智造</t>
  </si>
  <si>
    <t>3kg*5/件</t>
  </si>
  <si>
    <t>联合食品糖纳豆</t>
  </si>
  <si>
    <t>联合食品</t>
  </si>
  <si>
    <t>5kg/包</t>
  </si>
  <si>
    <t>西麦麦片</t>
  </si>
  <si>
    <t>西麦</t>
  </si>
  <si>
    <t>1000g/桶</t>
  </si>
  <si>
    <t>好又来烧烤苕皮</t>
  </si>
  <si>
    <t>好又来</t>
  </si>
  <si>
    <t>140g*60袋/件</t>
  </si>
  <si>
    <t>金龙鱼甜味豆浆粉</t>
  </si>
  <si>
    <t>16小袋/500g/袋</t>
  </si>
  <si>
    <t>金龙鱼原味豆浆粉</t>
  </si>
  <si>
    <t>维维豆浆粉</t>
  </si>
  <si>
    <t>维维</t>
  </si>
  <si>
    <t>20小袋/450g/袋</t>
  </si>
  <si>
    <t>维维豆奶粉</t>
  </si>
  <si>
    <t>干木耳丝</t>
  </si>
  <si>
    <t>福钦精制粉丝</t>
  </si>
  <si>
    <t>福钦</t>
  </si>
  <si>
    <t>15kg/袋</t>
  </si>
  <si>
    <t>干海带丝</t>
  </si>
  <si>
    <t>辣椒节</t>
  </si>
  <si>
    <t>干辣椒节</t>
  </si>
  <si>
    <t>精品新一代</t>
  </si>
  <si>
    <t>9kg/袋</t>
  </si>
  <si>
    <t>海益家精选紫菜</t>
  </si>
  <si>
    <t>海益家</t>
  </si>
  <si>
    <t>50g/包</t>
  </si>
  <si>
    <t>同仁堂金银花</t>
  </si>
  <si>
    <t>粗酸辣粉条</t>
  </si>
  <si>
    <t>细酸辣粉条</t>
  </si>
  <si>
    <t>白粉丝</t>
  </si>
  <si>
    <t>白粉条</t>
  </si>
  <si>
    <t>散称，500g，色泽白亮，丝条均匀，干爽无霉，柔韧有弹性，久煮不烂</t>
  </si>
  <si>
    <t>干百合</t>
  </si>
  <si>
    <t>散称，500g，鳞片肥厚，色泽乳白或微黄，干燥无黑斑，味清甜微苦</t>
  </si>
  <si>
    <t>新一代辣椒段</t>
  </si>
  <si>
    <t>辣满仓</t>
  </si>
  <si>
    <t>海椒面（特辣）</t>
  </si>
  <si>
    <t>海椒面（中辣）</t>
  </si>
  <si>
    <t>干海椒</t>
  </si>
  <si>
    <t>散称，500g，色泽红亮，形状完整，干爽无霉，辣香浓郁，无虫蛀杂质</t>
  </si>
  <si>
    <t>干虫草花</t>
  </si>
  <si>
    <t>干大木耳</t>
  </si>
  <si>
    <t>散称，500g，耳片大而完整肉厚质软，无树皮泥沙</t>
  </si>
  <si>
    <t>干海带</t>
  </si>
  <si>
    <t>散称，500g，叶片宽厚完整，呈深褐色或黑绿色，表面白霜（甘露醇）明显，干燥无泥沙,</t>
  </si>
  <si>
    <t>干海带结</t>
  </si>
  <si>
    <t>干黑小木耳</t>
  </si>
  <si>
    <t>干盐白菜</t>
  </si>
  <si>
    <t>枸杞</t>
  </si>
  <si>
    <t>散称，500g，颗粒饱满，色泽红润，干燥无结块，肉质甘甜，无杂质</t>
  </si>
  <si>
    <t>黑粉条</t>
  </si>
  <si>
    <t>散称，500g，色泽黑亮，丝条均匀，干爽柔韧，耐煮不糊，口感筋道爽滑</t>
  </si>
  <si>
    <t>灰枣</t>
  </si>
  <si>
    <t>散称，500g，果实饱满，色泽深红，皮薄核小，肉质细腻，味甜无酸涩</t>
  </si>
  <si>
    <t>桔饼</t>
  </si>
  <si>
    <t>莲子</t>
  </si>
  <si>
    <t>散称，500g，颗粒饱满，色泽自然，肉质洁白，干燥无虫，口感粉糯清香</t>
  </si>
  <si>
    <t>去核切片红枣</t>
  </si>
  <si>
    <t>裙带菜</t>
  </si>
  <si>
    <t>鲜苕皮</t>
  </si>
  <si>
    <t>1.25kg*6袋</t>
  </si>
  <si>
    <t>干银耳</t>
  </si>
  <si>
    <t>散称，500g，朵形完整，色泽淡黄，肉质肥厚，干燥无霉，泡发率高</t>
  </si>
  <si>
    <t>干竹荪</t>
  </si>
  <si>
    <t>红枣</t>
  </si>
  <si>
    <t>干菊花</t>
  </si>
  <si>
    <t>干山楂</t>
  </si>
  <si>
    <t>干姬松茸</t>
  </si>
  <si>
    <t>散装，500g</t>
  </si>
  <si>
    <t>干羊肚菌</t>
  </si>
  <si>
    <t>干鹿茸菇</t>
  </si>
  <si>
    <t>干制蔬菜</t>
  </si>
  <si>
    <t>干豇豆</t>
  </si>
  <si>
    <t>散称，500g，色泽深绿，条干均匀，干爽无霉，豆香纯正，泡发率高</t>
  </si>
  <si>
    <t>干香菇</t>
  </si>
  <si>
    <t>散称，500g，菌盖厚实卷边，花纹自然，菌褶白黄，香气浓郁醇厚，无虫蛀霉变和焦片</t>
  </si>
  <si>
    <t>干竹笋</t>
  </si>
  <si>
    <t>散称，500g，色泽淡黄，条片均匀，干爽无霉，笋香纯正，泡发率高</t>
  </si>
  <si>
    <t>谷物粉</t>
  </si>
  <si>
    <t>琦珠汤圆粉</t>
  </si>
  <si>
    <t>琦珠</t>
  </si>
  <si>
    <t>20袋*900g</t>
  </si>
  <si>
    <t>金沙河玉米粉</t>
  </si>
  <si>
    <t>金沙河</t>
  </si>
  <si>
    <t>20kg/袋</t>
  </si>
  <si>
    <t>玉米糁</t>
  </si>
  <si>
    <t>散称，500g，颗粒均匀，色泽鲜黄，无霉变、黑点与杂质，具有玉米天然清香，口感爽滑</t>
  </si>
  <si>
    <t>荞麦粉</t>
  </si>
  <si>
    <t>碾磨/脱壳谷物</t>
  </si>
  <si>
    <t>小米</t>
  </si>
  <si>
    <t>黑米</t>
  </si>
  <si>
    <t>黄小米</t>
  </si>
  <si>
    <t>糙米</t>
  </si>
  <si>
    <t>薏仁</t>
  </si>
  <si>
    <t>散称，500g，粒大饱满，色泽白净，粉质均匀，无臭味、虫蛀与黑色粒，煮后软糯微甜</t>
  </si>
  <si>
    <t>荞麦米</t>
  </si>
  <si>
    <t>散称，500g，颗粒规整，色泽棕褐或灰黑，棱线清晰，无杂质异味，麦香独特，煮后柔韧</t>
  </si>
  <si>
    <t>西米</t>
  </si>
  <si>
    <t>燕麦米</t>
  </si>
  <si>
    <t>散称，500g，颗粒修长饱满，色泽黄白，麦香浓郁，无麸皮、黑粒与哈喇味，口感Q弹</t>
  </si>
  <si>
    <t>八宝米</t>
  </si>
  <si>
    <t>糯米</t>
  </si>
  <si>
    <t>散称，500g，米粒洁白饱满，颗粒均匀，无黄粒、杂质与米虫，米香纯正，黏性适中</t>
  </si>
  <si>
    <t>水产干货</t>
  </si>
  <si>
    <t>瑶柱</t>
  </si>
  <si>
    <t>虾皮</t>
  </si>
  <si>
    <t>散称，500g，体形完整，白色或淡黄色，干燥不粘手，咸味适中，鲜味足，无泥沙和碎末</t>
  </si>
  <si>
    <t>水产</t>
  </si>
  <si>
    <t>淡水虾</t>
  </si>
  <si>
    <t>基围虾</t>
  </si>
  <si>
    <t>咸菜</t>
  </si>
  <si>
    <t>楚园麻辣儿菜丝</t>
  </si>
  <si>
    <t>楚园</t>
  </si>
  <si>
    <t>4.5kg/件</t>
  </si>
  <si>
    <t>邓氏酸菜</t>
  </si>
  <si>
    <t>380g*26/件</t>
  </si>
  <si>
    <t>酒都大头菜丝</t>
  </si>
  <si>
    <t>酒都</t>
  </si>
  <si>
    <t>19kg/袋</t>
  </si>
  <si>
    <t>胖子妈白味榨菜丝</t>
  </si>
  <si>
    <t>胖子妈</t>
  </si>
  <si>
    <t>20kg/件</t>
  </si>
  <si>
    <t>四川大泡菜</t>
  </si>
  <si>
    <t>2.5kg/包</t>
  </si>
  <si>
    <t>2.5kg*5袋/件</t>
  </si>
  <si>
    <t>榨菜粒</t>
  </si>
  <si>
    <t>9kg/件</t>
  </si>
  <si>
    <t>泡红线椒</t>
  </si>
  <si>
    <t>坛子传奇豇豆沫</t>
  </si>
  <si>
    <t>坛子传奇</t>
  </si>
  <si>
    <t>腾晖大牛笋丁</t>
  </si>
  <si>
    <t>腾晖</t>
  </si>
  <si>
    <t>3.5kg/件</t>
  </si>
  <si>
    <t>鲜池野山椒</t>
  </si>
  <si>
    <t>2kg*6袋/件</t>
  </si>
  <si>
    <t>一贯香豇豆沫</t>
  </si>
  <si>
    <t>一贯香</t>
  </si>
  <si>
    <t>5kg/件</t>
  </si>
  <si>
    <t>一贯香泡椒沫</t>
  </si>
  <si>
    <t>宜宾芽菜</t>
  </si>
  <si>
    <t>1kg*14袋/件</t>
  </si>
  <si>
    <t>大头菜颗粒</t>
  </si>
  <si>
    <t>灯笼椒</t>
  </si>
  <si>
    <t>散称，500g，原料为肉厚红色灯笼椒，要求果形饱满、甜辣适中,成品红黄透亮、酸咸脆厚、辣味柔和</t>
  </si>
  <si>
    <t>泡海椒</t>
  </si>
  <si>
    <t>散称，500g，色泽红亮，椒体完整，酸香醇厚，咸辣适口，质地脆嫩无软烂</t>
  </si>
  <si>
    <t>泡红小米辣</t>
  </si>
  <si>
    <t>散称，500g，原料为新鲜红小米辣，要求颜色鲜红、辣味强烈,成品鲜红脆硬、酸辣咸鲜、无发黑软烂</t>
  </si>
  <si>
    <t>泡豇豆</t>
  </si>
  <si>
    <t>散称，500g，原料为嫩豇豆，要求翠绿细长、豆粒未凸,成品黄绿脆爽、酸咸有嚼劲、豇豆香浓</t>
  </si>
  <si>
    <t>泡青小米辣</t>
  </si>
  <si>
    <t>散称，500g，原料为新鲜青小米辣，要求色泽青绿、辣味浓郁、肉质厚实,成品酸辣脆爽、无软烂发白</t>
  </si>
  <si>
    <t>泡生姜</t>
  </si>
  <si>
    <t>散称，500g，原料为嫩姜，要求姜块饱满、纤维少,成品嫩黄脆嫩、辛香酸爽、无发霉变质</t>
  </si>
  <si>
    <t>酸菜</t>
  </si>
  <si>
    <t>酸萝卜</t>
  </si>
  <si>
    <t>盐菜</t>
  </si>
  <si>
    <t>散称，500g，色泽黄亮，干爽无霉，菜丝均匀，咸香醇厚，无沙石杂质</t>
  </si>
  <si>
    <t>蜀新源酸菜丝</t>
  </si>
  <si>
    <t>蜀新源</t>
  </si>
  <si>
    <t>顺琪豇豆沫(盐水渍菜)</t>
  </si>
  <si>
    <t>顺琪</t>
  </si>
  <si>
    <t>香料（未研磨）</t>
  </si>
  <si>
    <t>良姜</t>
  </si>
  <si>
    <t xml:space="preserve">          </t>
  </si>
  <si>
    <t>千里香</t>
  </si>
  <si>
    <t>干香茅草</t>
  </si>
  <si>
    <t>黄栀子</t>
  </si>
  <si>
    <t>肉蔻</t>
  </si>
  <si>
    <t>香果</t>
  </si>
  <si>
    <t>八角</t>
  </si>
  <si>
    <t>散称，500g,瓣角整齐饱满，色泽红褐，香气浓郁甘甜，无霉粒、杂质和异味</t>
  </si>
  <si>
    <t>白蔻</t>
  </si>
  <si>
    <t>白芷</t>
  </si>
  <si>
    <t>散称，500g，片形大而厚实，断面白色粉性足，香气浓郁特异，无虫蛀、霉变和黑色油斑</t>
  </si>
  <si>
    <t>荜拨</t>
  </si>
  <si>
    <t>草果</t>
  </si>
  <si>
    <t>散称，500g,果实硕大饱满，表面棕褐色，纹理清晰，气味辛香特异，无空壳、霉变和异味</t>
  </si>
  <si>
    <t>陈皮</t>
  </si>
  <si>
    <t>散称，500g，片大完整，色泽棕红，皮薄油润，陈香醇厚，无霉变异味</t>
  </si>
  <si>
    <t>当归</t>
  </si>
  <si>
    <t>党参</t>
  </si>
  <si>
    <t>丁香</t>
  </si>
  <si>
    <t>散称，500g,花蕾饱满，色泽棕褐，香气浓郁芬芳，油性足，入水下沉，无碎末和杂质</t>
  </si>
  <si>
    <t>干红花椒</t>
  </si>
  <si>
    <t>散称，500g,色泽红艳油润，椒粒饱满，麻味纯正浓郁，无籽少梗，无霉粒</t>
  </si>
  <si>
    <t>干青花椒</t>
  </si>
  <si>
    <t>散称，500g，颜色翠绿，麻香味浓郁刺鼻，开口均匀，颗粒饱满，少籽无枝，无霉变</t>
  </si>
  <si>
    <t>桂皮</t>
  </si>
  <si>
    <t>散称，500g,皮厚均匀，外灰褐内棕红，油性足，香气纯正辛甜，无白斑霉点，味辛辣微甜</t>
  </si>
  <si>
    <t>茴香</t>
  </si>
  <si>
    <t>散称，500g,颗粒饱满，色泽黄绿或淡黄，香气浓郁醇和，无砂石、枝梗和霉味，味甘甜</t>
  </si>
  <si>
    <t>沙参</t>
  </si>
  <si>
    <t>散称，500g,表面粗糙呈黄白色，断面黄白有裂隙，质地脆硬，气味微香，味微甘，无杂质、无虫蛀、无油条</t>
  </si>
  <si>
    <t>山奈</t>
  </si>
  <si>
    <t>散称，500g,片形圆厚，外皮浅褐，断面洁白，粉性足，香气特异辛辣，无虫蛀、霉变</t>
  </si>
  <si>
    <t>香叶</t>
  </si>
  <si>
    <t>散称，500g,玉林市,叶片完整，色泽灰绿，香气清新浓郁，无黄叶、枝梗、杂质和霉味，干燥易碎</t>
  </si>
  <si>
    <t>香料(未研磨)</t>
  </si>
  <si>
    <t>骄香翠蘸料辣椒面</t>
  </si>
  <si>
    <t>骄香翠</t>
  </si>
  <si>
    <t>2.5kg*4包/件</t>
  </si>
  <si>
    <t>骄王保鲜花椒</t>
  </si>
  <si>
    <t>骄王</t>
  </si>
  <si>
    <t>350克/包</t>
  </si>
  <si>
    <t>香料（研磨）</t>
  </si>
  <si>
    <t>观明辣椒面</t>
  </si>
  <si>
    <t>观明</t>
  </si>
  <si>
    <t>5kg/袋</t>
  </si>
  <si>
    <t>郝大师辣椒面</t>
  </si>
  <si>
    <t>郝大师</t>
  </si>
  <si>
    <t>白胡椒面</t>
  </si>
  <si>
    <t>散称，500g,粉质细腻，色泽淡黄，香气温和，无结块、杂质和异味，味辛辣而去腥</t>
  </si>
  <si>
    <t>海椒面（粗）</t>
  </si>
  <si>
    <t>散称，500g,粗颗粒状，色泽红艳，辣香突出，能看到辣椒籽和皮，无变质味</t>
  </si>
  <si>
    <t>海椒面（细）</t>
  </si>
  <si>
    <t>散称，500g,粉质细腻，色泽红亮，辣味纯正，香气足，无结块、杂质和哈喇味</t>
  </si>
  <si>
    <t>黑胡椒面</t>
  </si>
  <si>
    <t>散称，500g,粉质细腻，色泽黑灰，香气辛香浓烈，无结块、杂质和霉味，味辛辣</t>
  </si>
  <si>
    <t>黑芝麻面</t>
  </si>
  <si>
    <t>青花椒面</t>
  </si>
  <si>
    <t>散称，500g,粉质均匀，色泽棕红，麻香浓郁纯正，无结块、杂质和涩味，麻味纯正</t>
  </si>
  <si>
    <t>红花椒面</t>
  </si>
  <si>
    <t>散称，500g,粉质细腻，色泽青绿，麻香清新纯正，无结块、杂质和异味，麻味持久</t>
  </si>
  <si>
    <t>孜然粉</t>
  </si>
  <si>
    <t>散称，500g,粉质均匀，色泽黄绿，香气浓郁特异，无结块、杂质和异味，味微辣</t>
  </si>
  <si>
    <t>芝麻</t>
  </si>
  <si>
    <t>去皮白芝麻</t>
  </si>
  <si>
    <t>白芝麻</t>
  </si>
  <si>
    <t>散称，500g,颗粒饱满，色泽乳白均匀，无黑芝麻掺入、杂质和油哈味，香气清新</t>
  </si>
  <si>
    <t>黑芝麻</t>
  </si>
  <si>
    <t>散称，500g,颗粒饱满，色泽乌黑均匀，无白芝麻掺入、杂质和霉变，香气纯正，油性足</t>
  </si>
  <si>
    <t>豆制品</t>
  </si>
  <si>
    <t>豆腐</t>
  </si>
  <si>
    <t>老豆腐</t>
  </si>
  <si>
    <t>散称，500g,质地坚硬扎实，切面粗糙气孔少，豆香浓郁，炖煮不易散，无酸涩味</t>
  </si>
  <si>
    <t>嫩豆腐</t>
  </si>
  <si>
    <t>散称，500g,色泽洁白如玉，质地细嫩易碎，口感水润滑爽，豆香清淡，无酸败</t>
  </si>
  <si>
    <t>薄豆干</t>
  </si>
  <si>
    <t>散称，500g,厚薄均匀一致，软中带韧有嚼劲，豆香清新，不易断裂，无黏液杂质</t>
  </si>
  <si>
    <t>厚豆干</t>
  </si>
  <si>
    <t>散称，500g,质地紧实细腻，富有弹性不易碎，咸淡适中，豆香足，切面光滑无酸味</t>
  </si>
  <si>
    <t>千张豆腐</t>
  </si>
  <si>
    <t>散称，500g,,色白或微黄，薄而韧不易断裂，厚度均匀，豆味纯正，柔软有嚼劲</t>
  </si>
  <si>
    <t>油豆腐</t>
  </si>
  <si>
    <t>散称，500g,色泽金黄，外形饱满蓬松，内里蜂窝均匀，油香豆香浓郁，弹性好无异味</t>
  </si>
  <si>
    <t>魔芋</t>
  </si>
  <si>
    <t>散称，500g,灰白或米白色，质地Q弹脆滑，无杂质异味，低热量，饱腹感强</t>
  </si>
  <si>
    <t>米粉面条</t>
  </si>
  <si>
    <t>抄手水饺皮</t>
  </si>
  <si>
    <t>抄手皮</t>
  </si>
  <si>
    <t>散称，500g,皮薄均匀，色泽自然，柔韧有弹性，久煮不破，面香纯正</t>
  </si>
  <si>
    <t>饺子皮</t>
  </si>
  <si>
    <t>散称，500g,表面光滑，煮熟后口感柔韧爽滑，无酸味、糊汤及杂质</t>
  </si>
  <si>
    <t>粉条</t>
  </si>
  <si>
    <t>荣昌万芳酸辣粉</t>
  </si>
  <si>
    <t>荣昌万芳</t>
  </si>
  <si>
    <t>30kg/件</t>
  </si>
  <si>
    <t>渝美佳酸辣粉</t>
  </si>
  <si>
    <t>渝美佳</t>
  </si>
  <si>
    <t>20kg</t>
  </si>
  <si>
    <t>谷物细粉</t>
  </si>
  <si>
    <t>土豆粉</t>
  </si>
  <si>
    <t>桥山</t>
  </si>
  <si>
    <t>180g*100包/件</t>
  </si>
  <si>
    <t>米粉</t>
  </si>
  <si>
    <t>河粉</t>
  </si>
  <si>
    <t>散称，500g,粉条宽薄均匀，米白色透亮，口感爽滑筋道，米香纯正，无酸味无断条</t>
  </si>
  <si>
    <t>凉粉</t>
  </si>
  <si>
    <t>散称，500g,晶莹剔透有弹性，口感爽滑清凉，成型好不粘糊，无酸味异味</t>
  </si>
  <si>
    <t>手工米粉</t>
  </si>
  <si>
    <t>米线</t>
  </si>
  <si>
    <t>散称，500g,色泽米白，线条均匀，干爽无霉，柔韧有弹性，久煮不烂</t>
  </si>
  <si>
    <t>面块</t>
  </si>
  <si>
    <t>刀削面</t>
  </si>
  <si>
    <t>面条</t>
  </si>
  <si>
    <t>陈克明挂面</t>
  </si>
  <si>
    <t>陈克明</t>
  </si>
  <si>
    <t>1000g/把</t>
  </si>
  <si>
    <t>金沙河鸡蛋挂面</t>
  </si>
  <si>
    <t>2kg/把</t>
  </si>
  <si>
    <t>碱面</t>
  </si>
  <si>
    <t>4斤/把</t>
  </si>
  <si>
    <t>细水面</t>
  </si>
  <si>
    <t>散称，500g,面条纤细均匀，色泽自然微黄，表面光滑，煮熟后口感柔韧爽滑，无酸味、糊汤及杂质</t>
  </si>
  <si>
    <t>北极雪鸡蛋挂面</t>
  </si>
  <si>
    <t>北极雪</t>
  </si>
  <si>
    <t>2kg</t>
  </si>
  <si>
    <t>点心</t>
  </si>
  <si>
    <t>坚果</t>
  </si>
  <si>
    <t>乌梅干</t>
  </si>
  <si>
    <t>百草味腰果</t>
  </si>
  <si>
    <t>百草味</t>
  </si>
  <si>
    <t>百草味五香花生</t>
  </si>
  <si>
    <t>20g/袋</t>
  </si>
  <si>
    <t>百草味琥珀核桃</t>
  </si>
  <si>
    <t>500g/罐</t>
  </si>
  <si>
    <t>百草味葡萄干</t>
  </si>
  <si>
    <t>百草味枣夹核桃</t>
  </si>
  <si>
    <t>408g/袋</t>
  </si>
  <si>
    <t>百草味南瓜子仁</t>
  </si>
  <si>
    <t>百草味纸皮核桃</t>
  </si>
  <si>
    <t>128g/袋</t>
  </si>
  <si>
    <t>百草味碧根果仁</t>
  </si>
  <si>
    <t>200g/袋</t>
  </si>
  <si>
    <t>百草味巴旦木</t>
  </si>
  <si>
    <t>百草味每日坚果（5坚果  4果干）</t>
  </si>
  <si>
    <t>百草味每日坚果（7种纯坚果）</t>
  </si>
  <si>
    <t>洽洽每日坚果</t>
  </si>
  <si>
    <t>洽洽</t>
  </si>
  <si>
    <t>175g*7袋/盒</t>
  </si>
  <si>
    <t>三只松鼠每日坚果</t>
  </si>
  <si>
    <t>三只松鼠</t>
  </si>
  <si>
    <t>750g/30盒</t>
  </si>
  <si>
    <t>纸皮核桃</t>
  </si>
  <si>
    <t>沃隆每日坚果</t>
  </si>
  <si>
    <t>沃隆</t>
  </si>
  <si>
    <t>杏仁</t>
  </si>
  <si>
    <t>原味开心果</t>
  </si>
  <si>
    <t>碧根果仁</t>
  </si>
  <si>
    <t>夏威夷果仁</t>
  </si>
  <si>
    <t>蔓越莓干</t>
  </si>
  <si>
    <t>巴旦木仁</t>
  </si>
  <si>
    <t>绿皮葡萄干</t>
  </si>
  <si>
    <t>特级绿皮葡萄干</t>
  </si>
  <si>
    <t>特大夏威夷果</t>
  </si>
  <si>
    <t>糕点</t>
  </si>
  <si>
    <t>香柠蛋糕</t>
  </si>
  <si>
    <t>隐涵</t>
  </si>
  <si>
    <t>40g/个</t>
  </si>
  <si>
    <t>松松夹蛋糕</t>
  </si>
  <si>
    <t>5个/盒
100g</t>
  </si>
  <si>
    <t>蛋夹蛋糕</t>
  </si>
  <si>
    <t>5个/盒
60g</t>
  </si>
  <si>
    <t>老鸡蛋糕</t>
  </si>
  <si>
    <t>15个/盒
300g</t>
  </si>
  <si>
    <t>迷你泡芙（香草味）</t>
  </si>
  <si>
    <t>120g/盒</t>
  </si>
  <si>
    <t>迷你泡芙（提拉米苏味）</t>
  </si>
  <si>
    <t>迷你小蛋糕</t>
  </si>
  <si>
    <t>110g/盒</t>
  </si>
  <si>
    <t>元宝松松</t>
  </si>
  <si>
    <t>虎皮蛋糕</t>
  </si>
  <si>
    <t>70g/袋</t>
  </si>
  <si>
    <t>松松蛋糕</t>
  </si>
  <si>
    <t>牛奶葡萄蛋糕</t>
  </si>
  <si>
    <t>85g/袋</t>
  </si>
  <si>
    <t>面包</t>
  </si>
  <si>
    <t>牛奶小馒头</t>
  </si>
  <si>
    <t>90g/袋</t>
  </si>
  <si>
    <t>椰奶餐包</t>
  </si>
  <si>
    <t>6个/盒110g</t>
  </si>
  <si>
    <t>牛奶土司切片</t>
  </si>
  <si>
    <t>5片/袋200g</t>
  </si>
  <si>
    <t>蛋黄牛奶棒</t>
  </si>
  <si>
    <t>5根/袋 110g</t>
  </si>
  <si>
    <t>爆浆芝士牛角</t>
  </si>
  <si>
    <t>60g/个</t>
  </si>
  <si>
    <t>奶香芝士</t>
  </si>
  <si>
    <t>红豆餐包</t>
  </si>
  <si>
    <t>1*6个</t>
  </si>
  <si>
    <t>红豆吐司</t>
  </si>
  <si>
    <t>牛奶拉丝</t>
  </si>
  <si>
    <t>经典全麦吐司</t>
  </si>
  <si>
    <t>240g/袋</t>
  </si>
  <si>
    <t>智利火焰提子吐司</t>
  </si>
  <si>
    <t>菠萝包</t>
  </si>
  <si>
    <t>新松松吐司</t>
  </si>
  <si>
    <t>椰子排包</t>
  </si>
  <si>
    <t>140g/袋</t>
  </si>
  <si>
    <t>豆沙排包</t>
  </si>
  <si>
    <t>160g/袋</t>
  </si>
  <si>
    <t>碱水小馒头</t>
  </si>
  <si>
    <t>160g/盒</t>
  </si>
  <si>
    <t>海苔脆松棒</t>
  </si>
  <si>
    <t>小菠萝面包</t>
  </si>
  <si>
    <t>松松大饼</t>
  </si>
  <si>
    <t>椰香豆沙面包</t>
  </si>
  <si>
    <t>80g/袋</t>
  </si>
  <si>
    <t>绒沙酥粒面包</t>
  </si>
  <si>
    <t>120g/袋</t>
  </si>
  <si>
    <t>毛毛虫面包</t>
  </si>
  <si>
    <t>小酥皮面包</t>
  </si>
  <si>
    <t>60g/袋</t>
  </si>
  <si>
    <t>葡萄吐司4片装面包</t>
  </si>
  <si>
    <t>110g/袋</t>
  </si>
  <si>
    <t>芝麻餐包</t>
  </si>
  <si>
    <t>兴心吉祥</t>
  </si>
  <si>
    <t>1*60g</t>
  </si>
  <si>
    <t>椰香餐包</t>
  </si>
  <si>
    <t>豆沙餐包</t>
  </si>
  <si>
    <t>1*55g</t>
  </si>
  <si>
    <t>香芋味餐包</t>
  </si>
  <si>
    <t>椰蓉餐包</t>
  </si>
  <si>
    <t>奶酪餐包</t>
  </si>
  <si>
    <t>达利园法式小面包</t>
  </si>
  <si>
    <t>达利园</t>
  </si>
  <si>
    <t>散称</t>
  </si>
  <si>
    <t>港荣蒸蛋糕</t>
  </si>
  <si>
    <t>港荣</t>
  </si>
  <si>
    <t>回头客华夫饼</t>
  </si>
  <si>
    <t>回头客</t>
  </si>
  <si>
    <t>达利园小面包</t>
  </si>
  <si>
    <t>2.5kg/件</t>
  </si>
  <si>
    <t>达利园软面包</t>
  </si>
  <si>
    <t>南方黑芝麻糊560g</t>
  </si>
  <si>
    <t>南方黑芝麻</t>
  </si>
  <si>
    <t>560g/袋（20小包）</t>
  </si>
  <si>
    <t>岩烧牛角面包</t>
  </si>
  <si>
    <t>70g</t>
  </si>
  <si>
    <t>红豆餐包面包（三个粒装）</t>
  </si>
  <si>
    <t>130g</t>
  </si>
  <si>
    <t>蛋黄酥</t>
  </si>
  <si>
    <t>60g</t>
  </si>
  <si>
    <t>松松小贝蛋糕（三粒装）</t>
  </si>
  <si>
    <t>80g</t>
  </si>
  <si>
    <t>黄油蛋糕</t>
  </si>
  <si>
    <t>100g</t>
  </si>
  <si>
    <t>手撕面包</t>
  </si>
  <si>
    <t>110g</t>
  </si>
  <si>
    <t>奶香面包片（三片装）</t>
  </si>
  <si>
    <t>90g</t>
  </si>
  <si>
    <t>榴莲芝士面包</t>
  </si>
  <si>
    <t>黑森林蛋糕</t>
  </si>
  <si>
    <t>蛋挞（2粒装）</t>
  </si>
  <si>
    <t>椰皇餐包面包（3粒装）</t>
  </si>
  <si>
    <t>葡萄干椰蓉面包</t>
  </si>
  <si>
    <t>三角蛋糕</t>
  </si>
  <si>
    <t>绵云吐司面包（6片装）</t>
  </si>
  <si>
    <t>240g</t>
  </si>
  <si>
    <t>虎皮卷蛋糕</t>
  </si>
  <si>
    <t>原味麻薯60g（2粒装）</t>
  </si>
  <si>
    <t>奶酪面包（3粒装）</t>
  </si>
  <si>
    <t>蜜豆吐司面包</t>
  </si>
  <si>
    <t>180g</t>
  </si>
  <si>
    <t>丹麦唱片面包</t>
  </si>
  <si>
    <t>香松海苔风味面包</t>
  </si>
  <si>
    <t>鸡蛋香松面包</t>
  </si>
  <si>
    <t>120g</t>
  </si>
  <si>
    <t>蝴蝶椰蓉面包</t>
  </si>
  <si>
    <t>方糖片面包</t>
  </si>
  <si>
    <t>披萨面包</t>
  </si>
  <si>
    <t>贝壳蛋糕</t>
  </si>
  <si>
    <t>香芋味方包面包</t>
  </si>
  <si>
    <t>190g</t>
  </si>
  <si>
    <t>饼干</t>
  </si>
  <si>
    <t>江津麻片</t>
  </si>
  <si>
    <t>荷花牌</t>
  </si>
  <si>
    <t>130克/袋</t>
  </si>
  <si>
    <t>百醇饼干</t>
  </si>
  <si>
    <t>百醇</t>
  </si>
  <si>
    <t>48g/盒</t>
  </si>
  <si>
    <t>小熊饼干</t>
  </si>
  <si>
    <t>好吃点</t>
  </si>
  <si>
    <t>115g/袋</t>
  </si>
  <si>
    <t>原味海苔片</t>
  </si>
  <si>
    <t>美好时光</t>
  </si>
  <si>
    <t>4g（8束）</t>
  </si>
  <si>
    <t>荷花米花糖</t>
  </si>
  <si>
    <t>240g/袋 每袋60块</t>
  </si>
  <si>
    <t>三牛葱香饼干</t>
  </si>
  <si>
    <t>三牛</t>
  </si>
  <si>
    <t>奥利奥夹心饼干</t>
  </si>
  <si>
    <t>奥利奥</t>
  </si>
  <si>
    <t>奥利奥威化饼干</t>
  </si>
  <si>
    <t>旺旺雪饼</t>
  </si>
  <si>
    <t>旺旺</t>
  </si>
  <si>
    <t>520g/袋</t>
  </si>
  <si>
    <t>旺旺仙贝</t>
  </si>
  <si>
    <t>奶制品</t>
  </si>
  <si>
    <t>牛奶</t>
  </si>
  <si>
    <t>蒙牛纯牛奶</t>
  </si>
  <si>
    <t>蒙牛</t>
  </si>
  <si>
    <t>250ml*24盒/提</t>
  </si>
  <si>
    <t>天友纯牛奶</t>
  </si>
  <si>
    <t>天友</t>
  </si>
  <si>
    <t>伊利纯牛奶</t>
  </si>
  <si>
    <t>伊利</t>
  </si>
  <si>
    <t>百特鲜牛奶</t>
  </si>
  <si>
    <t>天友鲜牛奶</t>
  </si>
  <si>
    <t>950mL/盒</t>
  </si>
  <si>
    <t>悦鲜活牛奶</t>
  </si>
  <si>
    <t>金典纯牛奶</t>
  </si>
  <si>
    <t>250ml*12/提</t>
  </si>
  <si>
    <t>鲜奶</t>
  </si>
  <si>
    <t>淳源有机鲜牛奶</t>
  </si>
  <si>
    <t>900ml/瓶</t>
  </si>
  <si>
    <t>蔬菜类</t>
  </si>
  <si>
    <t>白菜类</t>
  </si>
  <si>
    <t>牛心白</t>
  </si>
  <si>
    <t>散称，500g，叶球紧实，形似牛心，叶片鲜嫩，无虫眼黄叶，清甜无苦味</t>
  </si>
  <si>
    <t>小白菜</t>
  </si>
  <si>
    <t>散称，500g，梗白色，叶子淡绿色，茎白肥嫩，无黄叶虫眼，清香味浓，无腐烂</t>
  </si>
  <si>
    <t>菜心</t>
  </si>
  <si>
    <t>散称，500g，菜薹粗壮，花色未开，叶片鲜绿，茎部脆嫩，清甜无渣</t>
  </si>
  <si>
    <t>黄秧白</t>
  </si>
  <si>
    <t>散称，500g，叶球紧实，叶片鲜黄，质地柔嫩，清甜无苦味，无烂叶虫眼</t>
  </si>
  <si>
    <t>瓢儿白（本地）</t>
  </si>
  <si>
    <t>散称，500g，梗短粗，呈淡绿色或白色，叶子厚，无花蕾，水分足，无黄叶，腐烂</t>
  </si>
  <si>
    <t>水白菜</t>
  </si>
  <si>
    <t>散称，500g，叶片翠绿完整，叶柄洁白肥厚，无黄叶烂斑，清甜无苦味</t>
  </si>
  <si>
    <t>小水白菜</t>
  </si>
  <si>
    <t>娃娃菜</t>
  </si>
  <si>
    <t>散称，500g，叶子嫩黄，叶脉细，叶面平整，清甜无苦味，无烂叶虫眼</t>
  </si>
  <si>
    <t>竹筒白</t>
  </si>
  <si>
    <t>菜豆类</t>
  </si>
  <si>
    <t>鲜青豆</t>
  </si>
  <si>
    <t>豇豆</t>
  </si>
  <si>
    <t>散称，500g，豆荚细长匀直，色泽翠绿，饱满有光泽，无斑点，易折断</t>
  </si>
  <si>
    <t>蔬菜</t>
  </si>
  <si>
    <t>荷兰豆（豌豆片）</t>
  </si>
  <si>
    <t>葱蒜类</t>
  </si>
  <si>
    <t>白头小葱</t>
  </si>
  <si>
    <t>散称，500g，葱白修长，叶片鲜绿，无枯黄腐烂，气味辛香，根部洁净</t>
  </si>
  <si>
    <t>大葱</t>
  </si>
  <si>
    <t>散称，500g，颜色白色或紫色，蒜皮干燥，无发芽</t>
  </si>
  <si>
    <t>独蒜</t>
  </si>
  <si>
    <t>大蒜</t>
  </si>
  <si>
    <t>散称，500g,颜色白色或者紫色，蒜皮干燥紫亮，蒜瓣结实，无发芽霉变</t>
  </si>
  <si>
    <t>黄葱</t>
  </si>
  <si>
    <t>蒜米</t>
  </si>
  <si>
    <t>5kg/装</t>
  </si>
  <si>
    <t>蒜苗</t>
  </si>
  <si>
    <t>散称，500g，叶色鲜绿，毛根白色不枯差，辣味较浓、整齐，洁净不折断</t>
  </si>
  <si>
    <t>蒜苔</t>
  </si>
  <si>
    <t>洋葱</t>
  </si>
  <si>
    <t>散称，500g，鳞片肥厚，完整无损，球茎干度适中，无腐烂，发芽</t>
  </si>
  <si>
    <t>老姜</t>
  </si>
  <si>
    <t>散称，500g，姜体饱满，表皮粗糙，颜色土黄，姜香辛辣浓郁，无腐烂发芽</t>
  </si>
  <si>
    <t>仔姜</t>
  </si>
  <si>
    <t>散称，500g，姜体饱满，表皮光滑，色淡黄，芽芯粉红，肉质脆嫩，辛辣清香</t>
  </si>
  <si>
    <t>红头小葱</t>
  </si>
  <si>
    <t>苦茭</t>
  </si>
  <si>
    <t>散称，500g，洁白晶莹，形态匀称，气味辛香，质地脆嫩，无腐烂</t>
  </si>
  <si>
    <t>甘蓝类</t>
  </si>
  <si>
    <t>脆莲白</t>
  </si>
  <si>
    <t>散称，500g，叶球紧实，叶片鲜绿，无虫眼黄叶，肉质脆嫩，清甜无苦味</t>
  </si>
  <si>
    <t>花菜</t>
  </si>
  <si>
    <t>散称，500g，花蕾颜色洁白或乳白，花球紧实洁白，蕾粒均匀细密，无黑斑污点，茎部青绿鲜嫩。</t>
  </si>
  <si>
    <t>西兰花</t>
  </si>
  <si>
    <t>散称，500g，花蕾颜色深绿，细密紧实，球形完整，茎部鲜嫩，无黄化开花</t>
  </si>
  <si>
    <t>紫甘蓝</t>
  </si>
  <si>
    <t>根菜类</t>
  </si>
  <si>
    <t>广胡萝卜</t>
  </si>
  <si>
    <t>红皮萝卜</t>
  </si>
  <si>
    <t>散称，500g，根形顺直，皮色鲜红，光滑无裂，肉质脆甜，无糠心，黑心</t>
  </si>
  <si>
    <t>胡萝卜</t>
  </si>
  <si>
    <t>散称，500g，颜色红色至橘黄色，表面光滑，肉质甜脆，中心筑细小，无硬芯，开裂</t>
  </si>
  <si>
    <t>长白萝卜</t>
  </si>
  <si>
    <t>散称，500g，颜色洁白光亮，表面光滑，形体完整，肉嫩脆，无空心，虫洞</t>
  </si>
  <si>
    <t>芦笋</t>
  </si>
  <si>
    <t>瓜类</t>
  </si>
  <si>
    <t>贝贝南瓜</t>
  </si>
  <si>
    <t>散称，500g，果形扁圆端正，瓜皮深绿带纵纹，肉质橙黄，粉糯香甜</t>
  </si>
  <si>
    <t>黄瓜</t>
  </si>
  <si>
    <t>长丝瓜</t>
  </si>
  <si>
    <t>散称，500g，瓜条细长匀直，皮色翠绿，纹理清晰，肉质洁白，软嫩清甜</t>
  </si>
  <si>
    <t>吊冬瓜</t>
  </si>
  <si>
    <t>散称，500g，瓜形周正，皮色青绿覆白霜，肉质洁白厚实，无损伤腐烂</t>
  </si>
  <si>
    <t>苦瓜</t>
  </si>
  <si>
    <t>散称，500g，颜色淡绿色有光泽，凸处明显，瓜体顺直，肉质脆嫩，苦味纯正</t>
  </si>
  <si>
    <t>老南瓜</t>
  </si>
  <si>
    <t>散称，500g，颜色金黄色或橙红色，瓜形端正，皮色橙黄坚硬，瓜瓤金黄，肉质粉糯，香甜味浓</t>
  </si>
  <si>
    <t>嫩圆南瓜</t>
  </si>
  <si>
    <t>散称，500g，瓜形周正，皮色翠绿柔嫩，肉质紧实，瓤小籽嫩，清甜无渣</t>
  </si>
  <si>
    <t>西葫芦</t>
  </si>
  <si>
    <t>散称，500g，瓜形笔直匀称，皮色翠绿光滑，肉质洁白细嫩，无损伤萎蔫</t>
  </si>
  <si>
    <t>芥菜类</t>
  </si>
  <si>
    <t>芥菜</t>
  </si>
  <si>
    <t>散称，500g，叶片翠绿完整，茎秆肥嫩，无黄叶虫眼，气味清香，质地脆嫩</t>
  </si>
  <si>
    <t>马铃薯</t>
  </si>
  <si>
    <t>黄心土豆（大号）</t>
  </si>
  <si>
    <t>散称，500g，个体硕大饱满形正，表皮干燥洁净无损伤，肉质瓷实不空心，无病变：单个5两以上</t>
  </si>
  <si>
    <t>黄心土豆（小号）</t>
  </si>
  <si>
    <t>散称，500g，个头均匀卵圆形，表皮薄而光滑无芽眼，肉质紧实鲜黄，无青绿发芽；单个2两以下</t>
  </si>
  <si>
    <t>黄心土豆（中号）</t>
  </si>
  <si>
    <t>散称，500g，个头均匀卵圆形，表皮薄而光滑无芽眼，肉质紧实鲜黄，无青绿发芽；单个3-5两</t>
  </si>
  <si>
    <t>茄果类</t>
  </si>
  <si>
    <t>红圆椒</t>
  </si>
  <si>
    <t>二荆条</t>
  </si>
  <si>
    <t>散称，500g，果细长，色深绿，皮薄微皱，香辣味浓，肉质饱满无软腐</t>
  </si>
  <si>
    <t>红美人椒</t>
  </si>
  <si>
    <t>红小米辣</t>
  </si>
  <si>
    <t>散称，500g，果小尖直，色泽鲜红，皮薄肉厚，辣味浓烈，质地干爽</t>
  </si>
  <si>
    <t>螺丝椒</t>
  </si>
  <si>
    <t>散称，500g，果形弯曲螺旋，色深绿，皮薄皱褶，香辣味浓，肉质饱满</t>
  </si>
  <si>
    <t>茄子</t>
  </si>
  <si>
    <t>散称，500g，表面光滑有色泽，有弹性不软，萼片新鲜，肉质洁白细嫩，无籽，表皮无邹，压伤</t>
  </si>
  <si>
    <t>青椒</t>
  </si>
  <si>
    <t>散称，500g，果形端正，色泽鲜绿，肉质肥厚，表皮光滑，辣度适中</t>
  </si>
  <si>
    <t>青小米辣</t>
  </si>
  <si>
    <t>散称，500g，果小尖直，色泽深绿，皮薄肉厚，辣味浓烈，质地硬脆</t>
  </si>
  <si>
    <t>西红柿（中）</t>
  </si>
  <si>
    <t>散称，500g，颜色大红 光泽亮艳，果形圆整，萼片新鲜，软硬适中，沙瓤多汁，无腐烂</t>
  </si>
  <si>
    <t>西红柿（粉果）</t>
  </si>
  <si>
    <t>散称，500g，颜色粉红，光泽亮艳，果形圆整，萼片新鲜，软硬适中，沙瓤多汁，无腐烂</t>
  </si>
  <si>
    <t>黄甜椒</t>
  </si>
  <si>
    <t>食用菌</t>
  </si>
  <si>
    <t>姬松茸（鲜）</t>
  </si>
  <si>
    <t>口蘑（蘑菇）</t>
  </si>
  <si>
    <t>茶树菇</t>
  </si>
  <si>
    <t>散称，500g，菌盖褐润，菌柄细长，香气浓郁，肉质脆嫩，干爽无霉变</t>
  </si>
  <si>
    <t>虫草花</t>
  </si>
  <si>
    <t>散称，500g，色泽橙黄，菌体完整，干燥有韧性，菌香浓郁，无杂质</t>
  </si>
  <si>
    <t>大脚菌</t>
  </si>
  <si>
    <t>海鲜菇</t>
  </si>
  <si>
    <t>散称，500g，菌体完整，色泽洁白，菌盖滑嫩，菌柄脆嫩，有海鲜清香</t>
  </si>
  <si>
    <t>金针菇</t>
  </si>
  <si>
    <t>散称，500g，菌盖颜色乳白，菌柄淡黄色，菌体整齐，菌柄脆嫩，干爽无黏液，无腐烂，潮湿</t>
  </si>
  <si>
    <t>鹿茸菇</t>
  </si>
  <si>
    <t>散称，500g，菌体完整，色泽淡黄，肉质肥厚，菌柄短壮，清香无异味</t>
  </si>
  <si>
    <t>平菇</t>
  </si>
  <si>
    <t>散称，500g，形状整齐不缺边，菌片肥厚，色泽灰白，边缘完整，质地柔韧，菌香浓郁</t>
  </si>
  <si>
    <t>鲜木耳</t>
  </si>
  <si>
    <t>散称，500g，耳片肥厚，黑褐色，富有弹性，无根无杂质，无异味</t>
  </si>
  <si>
    <t>香菇</t>
  </si>
  <si>
    <t>散称，500g，菌盖颜色褐色，有光泽，菌褶洁白，菌柄短壮，干爽有浓郁香气</t>
  </si>
  <si>
    <t>蟹味菇</t>
  </si>
  <si>
    <t>杏鲍菇</t>
  </si>
  <si>
    <t>散称，500g，形体完整，表面有丝状光泽，菌体饱满，色泽乳白，菌盖厚实，菌柄脆嫩，有杏仁清香</t>
  </si>
  <si>
    <t>薯芋类</t>
  </si>
  <si>
    <t>地瓜</t>
  </si>
  <si>
    <t>散称，500g，块根饱满，皮色鲜亮，无疤痕芽眼，肉质紧实，味甜多汁</t>
  </si>
  <si>
    <t>沙地蜜薯　</t>
  </si>
  <si>
    <t>散称，500g，薯形纺锤，皮色紫红，无疤痕虫眼，糖心流蜜，口感软糯香甜</t>
  </si>
  <si>
    <t>小号蜜薯</t>
  </si>
  <si>
    <t>散称，500g，薯形纺锤，皮色紫红，无疤痕虫眼，糖心流蜜，口感软糯香甜；直径不超7CM</t>
  </si>
  <si>
    <t>紫薯</t>
  </si>
  <si>
    <t>散称，500g，颜色呈现紫色至深紫色，个体形正，表皮光滑，无发芽</t>
  </si>
  <si>
    <t>毛芋儿</t>
  </si>
  <si>
    <t>散称，500g，芋体匀称，表皮棕毛密集，无腐烂损伤，肉质洁白，口感粉糯</t>
  </si>
  <si>
    <t>山药</t>
  </si>
  <si>
    <t>散称，500g，表皮呈淡黄色，带有小须，味甘粉足，有斑点，有硬伤</t>
  </si>
  <si>
    <t>铁棍山药</t>
  </si>
  <si>
    <t>散称，500g，根茎细长匀直，表皮淡黄带紫，须根稀少，肉质洁白，粘液丰富</t>
  </si>
  <si>
    <t>香芋</t>
  </si>
  <si>
    <t>散称，500g，芋体匀称，表皮棕褐环纹清晰，肉质白皙，粉糯香甜，无损伤</t>
  </si>
  <si>
    <t>水生蔬菜</t>
  </si>
  <si>
    <t>莲藕(脆)</t>
  </si>
  <si>
    <t>散称，500g，表面颜色白中微黄，肉洁白，脆嫩，无外伤，断裂</t>
  </si>
  <si>
    <t>面藕</t>
  </si>
  <si>
    <t>高笋（茭白去壳）</t>
  </si>
  <si>
    <t>500g</t>
  </si>
  <si>
    <t>芽苗类</t>
  </si>
  <si>
    <t>黄豆芽</t>
  </si>
  <si>
    <t>散称，500g，芽体洁白粗壮，豆瓣鲜黄，根须短少，脆嫩多汁，无异味</t>
  </si>
  <si>
    <t>绿豆芽</t>
  </si>
  <si>
    <t>散称，500g，芽体洁白晶莹，豆瓣淡黄，根须纤细，脆嫩多汁，清爽无异味</t>
  </si>
  <si>
    <t>叶菜类</t>
  </si>
  <si>
    <t>白芹</t>
  </si>
  <si>
    <t>西芹</t>
  </si>
  <si>
    <t>散称，500g，叶茎宽厚，颜色深绿，根部绿白色，无黄叶，腐烂</t>
  </si>
  <si>
    <t>叶芹菜</t>
  </si>
  <si>
    <t>散称，500g，茎秆挺直翠绿，叶片新鲜无黄，清香味浓，无老筋杂质</t>
  </si>
  <si>
    <t>菠菜</t>
  </si>
  <si>
    <t>散称，500g，叶片厚实鲜绿，根红短小，无黄叶烂叶，无抽薹，清香味浓</t>
  </si>
  <si>
    <t>韭菜</t>
  </si>
  <si>
    <t>散称，500g，叶较宽，翠绿色，根部洁白，软嫩且有香味，无泥土，无黄叶干尖</t>
  </si>
  <si>
    <t>韭黄</t>
  </si>
  <si>
    <t>散称，500g，颜色呈黄白色，根珠均匀，挺直鲜嫩，无腐烂杂质，气味清香</t>
  </si>
  <si>
    <t>生菜</t>
  </si>
  <si>
    <t>散称，500g，颜色鲜艳淡绿，脆嫩薄，棵株挺直，无叶子发黄，烂根</t>
  </si>
  <si>
    <t>茼蒿</t>
  </si>
  <si>
    <t>散称，500g，茎叶鲜绿，叶片完整，无黄叶烂叶，气味清香，口感脆嫩</t>
  </si>
  <si>
    <t>香菜</t>
  </si>
  <si>
    <t>散称，500g，翠绿，挺直，根部无泥，香气重，无黄叶，腐烂</t>
  </si>
  <si>
    <t>油麦菜</t>
  </si>
  <si>
    <t>散称，500g，色泽翠绿，新鲜，叶嫩，根部细短，无黄叶烂叶，清香味浓</t>
  </si>
  <si>
    <t>玉米</t>
  </si>
  <si>
    <t>鲜玉米粒</t>
  </si>
  <si>
    <t>白糯玉米（带壳）</t>
  </si>
  <si>
    <t>黄玉米（带壳）</t>
  </si>
  <si>
    <t>散称，500g，外衣翠绿，穗柄短，籽粒饱满金黄，排列整齐，鲜甜多汁</t>
  </si>
  <si>
    <t>杂类蔬菜</t>
  </si>
  <si>
    <t>莴笋杆（带叶）</t>
  </si>
  <si>
    <t>莴笋杆（不带叶）</t>
  </si>
  <si>
    <t>散称，500g，茎秆粗直，皮薄翠绿，肉质青绿透亮，脆嫩多汁，无空心，无压伤</t>
  </si>
  <si>
    <t>折耳根</t>
  </si>
  <si>
    <t>散称，500g，根茎洁白，节须分明，根嫩，细长，折之易断，均匀</t>
  </si>
  <si>
    <t>秋葵</t>
  </si>
  <si>
    <t>散称，500g，荚果鲜绿挺直，长度适中，棱角分明，肉质脆嫩，有黏液</t>
  </si>
  <si>
    <t>板栗仁</t>
  </si>
  <si>
    <t>5斤/袋</t>
  </si>
  <si>
    <t>水果类</t>
  </si>
  <si>
    <t>柑橘类</t>
  </si>
  <si>
    <t>脐橙</t>
  </si>
  <si>
    <t>耙耙柑</t>
  </si>
  <si>
    <t>沃柑</t>
  </si>
  <si>
    <t>黄柠檬</t>
  </si>
  <si>
    <t>散称，500g，果形椭圆，色泽鲜黄，皮薄油胞细腻，香气浓郁，酸味纯正</t>
  </si>
  <si>
    <t>火龙果</t>
  </si>
  <si>
    <t>白心火龙果</t>
  </si>
  <si>
    <t>散称，500g，果形饱满，鳞片鲜绿，皮色红艳，肉质洁白，软嫩清甜多汁</t>
  </si>
  <si>
    <t>红心火龙果</t>
  </si>
  <si>
    <t>散称，500g，果形饱满，鳞片鲜绿，皮色红艳，肉质深红，软嫩蜜甜多汁</t>
  </si>
  <si>
    <t>梨子</t>
  </si>
  <si>
    <t>秋月梨</t>
  </si>
  <si>
    <t>酥梨</t>
  </si>
  <si>
    <t>散称，500g，果形端正，皮薄黄亮，肉质雪白，酥脆多汁，甘甜核小无渣</t>
  </si>
  <si>
    <t>红香酥梨</t>
  </si>
  <si>
    <t>新疆库尔勒香梨</t>
  </si>
  <si>
    <t>散称，500g，果形端正，皮薄黄绿带红晕，肉质细脆，汁多味甜，核小无渣</t>
  </si>
  <si>
    <t>苹果</t>
  </si>
  <si>
    <t>红富士苹果（80#）</t>
  </si>
  <si>
    <t>散称，500g，果形端正高桩，色泽浓红，果面光洁，肉质脆甜，香气浓郁</t>
  </si>
  <si>
    <t>红富士苹果（85#）</t>
  </si>
  <si>
    <t>其它水果</t>
  </si>
  <si>
    <t>凤梨</t>
  </si>
  <si>
    <t>哈密瓜</t>
  </si>
  <si>
    <t>散称，500g，网纹密布，果形椭圆，皮色黄绿，肉质橘红，香甜多汁</t>
  </si>
  <si>
    <t>佳沛奇异果</t>
  </si>
  <si>
    <t>佳沛</t>
  </si>
  <si>
    <t>25个/件</t>
  </si>
  <si>
    <t>猕猴桃（红心）</t>
  </si>
  <si>
    <t>散称，500g，果形端正，果毛细软，肉质翠绿，软糯香甜，汁多味浓</t>
  </si>
  <si>
    <t>怡颗莓蓝莓</t>
  </si>
  <si>
    <t>怡颗莓</t>
  </si>
  <si>
    <t>（125g14MM+）</t>
  </si>
  <si>
    <t>草莓</t>
  </si>
  <si>
    <t>香蕉</t>
  </si>
  <si>
    <t>米蕉</t>
  </si>
  <si>
    <t>散称，500g，果形短小饱满，皮色鲜黄，果肉乳白，软糯香甜，无黑斑损伤</t>
  </si>
  <si>
    <t>散称，500g，果形弯曲丰满，皮色鲜黄，果肉乳白，软糯香甜，无损伤黑斑</t>
  </si>
  <si>
    <t>小西红柿</t>
  </si>
  <si>
    <t>千禧小番茄（红色）</t>
  </si>
  <si>
    <t>散称，500g，果形圆整，色泽深红，皮薄肉厚，甜酸多汁，风味浓郁</t>
  </si>
  <si>
    <t>西瓜</t>
  </si>
  <si>
    <t>普通西瓜</t>
  </si>
  <si>
    <t>食堂用具</t>
  </si>
  <si>
    <t>保鲜膜</t>
  </si>
  <si>
    <t>保鲜膜35cm</t>
  </si>
  <si>
    <t>35cm</t>
  </si>
  <si>
    <t>南亚保鲜膜</t>
  </si>
  <si>
    <t>60cm*6/件</t>
  </si>
  <si>
    <t>洗涤剂</t>
  </si>
  <si>
    <t>立白去油王餐具净</t>
  </si>
  <si>
    <t>立白</t>
  </si>
  <si>
    <t>20kg/桶</t>
  </si>
  <si>
    <t>新绿洁洗洁精</t>
  </si>
  <si>
    <t>新绿洁</t>
  </si>
  <si>
    <t>5L/4件</t>
  </si>
  <si>
    <t>纸制品</t>
  </si>
  <si>
    <t>洁柔可湿水面纸</t>
  </si>
  <si>
    <t>洁柔</t>
  </si>
  <si>
    <t>72包/件</t>
  </si>
  <si>
    <t>日用品</t>
  </si>
  <si>
    <t>南亚</t>
  </si>
  <si>
    <t>45cm*30yd*6/件</t>
  </si>
  <si>
    <t>一次性手套</t>
  </si>
  <si>
    <t>无</t>
  </si>
  <si>
    <t>100双*10包</t>
  </si>
  <si>
    <t>大号打包袋</t>
  </si>
  <si>
    <t>30把*1件</t>
  </si>
  <si>
    <t>黑色大垃圾袋</t>
  </si>
  <si>
    <t>1m*1.2m/件</t>
  </si>
  <si>
    <t>日杂</t>
  </si>
  <si>
    <t>黑色小垃圾袋</t>
  </si>
  <si>
    <t>40cm*40cmm/件</t>
  </si>
  <si>
    <t>钢丝球(6个）</t>
  </si>
  <si>
    <t>6个装/包</t>
  </si>
  <si>
    <t>打包袋（大号）</t>
  </si>
  <si>
    <t>把</t>
  </si>
  <si>
    <t>打包袋（中号）</t>
  </si>
  <si>
    <t>打包袋（小号）</t>
  </si>
  <si>
    <t>木头圆菜板</t>
  </si>
  <si>
    <t>50*10cm/个</t>
  </si>
  <si>
    <t>十八子菜刀</t>
  </si>
  <si>
    <t>型号S323-P2/把</t>
  </si>
  <si>
    <t>针织民用手套</t>
  </si>
  <si>
    <t>12双/包</t>
  </si>
  <si>
    <t>17.5元</t>
  </si>
  <si>
    <t>帽子</t>
  </si>
  <si>
    <t>100只/包</t>
  </si>
  <si>
    <t>23元</t>
  </si>
  <si>
    <t>洁劲100松木草本&amp;除菌厨房重油污净/500g×24(纸箱)/3倍除油</t>
  </si>
  <si>
    <t>洁劲100</t>
  </si>
  <si>
    <t>500g*24瓶/箱</t>
  </si>
  <si>
    <t>一次性防护口罩</t>
  </si>
  <si>
    <t>50片</t>
  </si>
  <si>
    <t>雕牌肥皂176g</t>
  </si>
  <si>
    <t>雕牌</t>
  </si>
  <si>
    <t>176g/块</t>
  </si>
  <si>
    <t>立白肥皂232g</t>
  </si>
  <si>
    <t>232g/块</t>
  </si>
  <si>
    <t>雕牌洗衣粉</t>
  </si>
  <si>
    <t>2.438kg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</si>
</sst>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2">
    <font>
      <sz val="11"/>
      <color theme="1"/>
      <name val="宋体"/>
      <charset val="134"/>
      <scheme val="minor"/>
    </font>
    <font>
      <b/>
      <sz val="14"/>
      <name val="宋体"/>
      <charset val="134"/>
    </font>
    <font>
      <sz val="14"/>
      <name val="宋体"/>
      <charset val="134"/>
    </font>
    <font>
      <sz val="14"/>
      <color rgb="FFFF0000"/>
      <name val="宋体"/>
      <charset val="134"/>
    </font>
    <font>
      <sz val="14"/>
      <color theme="1"/>
      <name val="宋体"/>
      <charset val="134"/>
    </font>
    <font>
      <sz val="16"/>
      <name val="宋体"/>
      <charset val="134"/>
    </font>
    <font>
      <sz val="12"/>
      <color theme="1"/>
      <name val="方正仿宋_GBK"/>
      <charset val="134"/>
    </font>
    <font>
      <sz val="15"/>
      <color theme="1"/>
      <name val="宋体"/>
      <charset val="134"/>
      <scheme val="minor"/>
    </font>
    <font>
      <sz val="15"/>
      <name val="宋体"/>
      <charset val="134"/>
      <scheme val="minor"/>
    </font>
    <font>
      <b/>
      <sz val="11"/>
      <color theme="1"/>
      <name val="宋体"/>
      <charset val="134"/>
      <scheme val="minor"/>
    </font>
    <font>
      <sz val="12"/>
      <name val="宋体"/>
      <charset val="134"/>
    </font>
    <font>
      <b/>
      <sz val="1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cellStyleXfs>
  <cellXfs count="5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0" xfId="0" applyFill="1">
      <alignment vertical="center"/>
    </xf>
    <xf numFmtId="176" fontId="2" fillId="0" borderId="0"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vertical="center"/>
    </xf>
    <xf numFmtId="0" fontId="10" fillId="0" borderId="1" xfId="0" applyFont="1" applyFill="1" applyBorder="1" applyAlignment="1">
      <alignment vertical="center"/>
    </xf>
    <xf numFmtId="176" fontId="2"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10"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9" Type="http://schemas.openxmlformats.org/officeDocument/2006/relationships/image" Target="media/image99.jpeg"/><Relationship Id="rId98" Type="http://schemas.openxmlformats.org/officeDocument/2006/relationships/image" Target="media/image98.png"/><Relationship Id="rId97" Type="http://schemas.openxmlformats.org/officeDocument/2006/relationships/image" Target="media/image97.jpeg"/><Relationship Id="rId96" Type="http://schemas.openxmlformats.org/officeDocument/2006/relationships/image" Target="media/image96.jpeg"/><Relationship Id="rId95" Type="http://schemas.openxmlformats.org/officeDocument/2006/relationships/image" Target="media/image95.png"/><Relationship Id="rId94" Type="http://schemas.openxmlformats.org/officeDocument/2006/relationships/image" Target="media/image94.png"/><Relationship Id="rId93" Type="http://schemas.openxmlformats.org/officeDocument/2006/relationships/image" Target="media/image93.jpeg"/><Relationship Id="rId92" Type="http://schemas.openxmlformats.org/officeDocument/2006/relationships/image" Target="media/image92.jpeg"/><Relationship Id="rId91" Type="http://schemas.openxmlformats.org/officeDocument/2006/relationships/image" Target="media/image91.jpeg"/><Relationship Id="rId90" Type="http://schemas.openxmlformats.org/officeDocument/2006/relationships/image" Target="media/image90.png"/><Relationship Id="rId9" Type="http://schemas.openxmlformats.org/officeDocument/2006/relationships/image" Target="media/image9.jpeg"/><Relationship Id="rId89" Type="http://schemas.openxmlformats.org/officeDocument/2006/relationships/image" Target="media/image89.jpeg"/><Relationship Id="rId88" Type="http://schemas.openxmlformats.org/officeDocument/2006/relationships/image" Target="media/image88.png"/><Relationship Id="rId87" Type="http://schemas.openxmlformats.org/officeDocument/2006/relationships/image" Target="media/image87.jpeg"/><Relationship Id="rId86" Type="http://schemas.openxmlformats.org/officeDocument/2006/relationships/image" Target="media/image86.png"/><Relationship Id="rId85" Type="http://schemas.openxmlformats.org/officeDocument/2006/relationships/image" Target="media/image85.jpeg"/><Relationship Id="rId84" Type="http://schemas.openxmlformats.org/officeDocument/2006/relationships/image" Target="media/image84.png"/><Relationship Id="rId83" Type="http://schemas.openxmlformats.org/officeDocument/2006/relationships/image" Target="media/image83.jpeg"/><Relationship Id="rId82" Type="http://schemas.openxmlformats.org/officeDocument/2006/relationships/image" Target="media/image82.png"/><Relationship Id="rId81" Type="http://schemas.openxmlformats.org/officeDocument/2006/relationships/image" Target="media/image81.jpeg"/><Relationship Id="rId80" Type="http://schemas.openxmlformats.org/officeDocument/2006/relationships/image" Target="media/image80.jpeg"/><Relationship Id="rId8" Type="http://schemas.openxmlformats.org/officeDocument/2006/relationships/image" Target="media/image8.jpeg"/><Relationship Id="rId79" Type="http://schemas.openxmlformats.org/officeDocument/2006/relationships/image" Target="media/image79.jpeg"/><Relationship Id="rId78" Type="http://schemas.openxmlformats.org/officeDocument/2006/relationships/image" Target="media/image78.jpeg"/><Relationship Id="rId77" Type="http://schemas.openxmlformats.org/officeDocument/2006/relationships/image" Target="media/image77.jpeg"/><Relationship Id="rId76" Type="http://schemas.openxmlformats.org/officeDocument/2006/relationships/image" Target="media/image76.png"/><Relationship Id="rId75" Type="http://schemas.openxmlformats.org/officeDocument/2006/relationships/image" Target="media/image75.png"/><Relationship Id="rId74" Type="http://schemas.openxmlformats.org/officeDocument/2006/relationships/image" Target="media/image74.jpeg"/><Relationship Id="rId73" Type="http://schemas.openxmlformats.org/officeDocument/2006/relationships/image" Target="media/image73.jpeg"/><Relationship Id="rId72" Type="http://schemas.openxmlformats.org/officeDocument/2006/relationships/image" Target="media/image72.png"/><Relationship Id="rId71" Type="http://schemas.openxmlformats.org/officeDocument/2006/relationships/image" Target="media/image71.jpe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jpeg"/><Relationship Id="rId67" Type="http://schemas.openxmlformats.org/officeDocument/2006/relationships/image" Target="media/image67.png"/><Relationship Id="rId66" Type="http://schemas.openxmlformats.org/officeDocument/2006/relationships/image" Target="media/image66.jpe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jpe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jpeg"/><Relationship Id="rId59" Type="http://schemas.openxmlformats.org/officeDocument/2006/relationships/image" Target="media/image59.png"/><Relationship Id="rId58" Type="http://schemas.openxmlformats.org/officeDocument/2006/relationships/image" Target="media/image58.jpeg"/><Relationship Id="rId576" Type="http://schemas.openxmlformats.org/officeDocument/2006/relationships/image" Target="media/image575.png"/><Relationship Id="rId575" Type="http://schemas.openxmlformats.org/officeDocument/2006/relationships/image" Target="media/image574.jpeg"/><Relationship Id="rId574" Type="http://schemas.openxmlformats.org/officeDocument/2006/relationships/image" Target="media/image573.jpeg"/><Relationship Id="rId573" Type="http://schemas.openxmlformats.org/officeDocument/2006/relationships/image" Target="media/image572.png"/><Relationship Id="rId572" Type="http://schemas.openxmlformats.org/officeDocument/2006/relationships/image" Target="media/image571.jpeg"/><Relationship Id="rId571" Type="http://schemas.openxmlformats.org/officeDocument/2006/relationships/image" Target="media/image570.png"/><Relationship Id="rId570" Type="http://schemas.openxmlformats.org/officeDocument/2006/relationships/image" Target="media/image569.png"/><Relationship Id="rId57" Type="http://schemas.openxmlformats.org/officeDocument/2006/relationships/image" Target="media/image57.jpeg"/><Relationship Id="rId569" Type="http://schemas.openxmlformats.org/officeDocument/2006/relationships/image" Target="media/image568.jpeg"/><Relationship Id="rId568" Type="http://schemas.openxmlformats.org/officeDocument/2006/relationships/image" Target="media/image567.jpeg"/><Relationship Id="rId567" Type="http://schemas.openxmlformats.org/officeDocument/2006/relationships/image" Target="media/image566.jpeg"/><Relationship Id="rId566" Type="http://schemas.openxmlformats.org/officeDocument/2006/relationships/image" Target="media/image565.png"/><Relationship Id="rId565" Type="http://schemas.openxmlformats.org/officeDocument/2006/relationships/image" Target="media/image564.png"/><Relationship Id="rId564" Type="http://schemas.openxmlformats.org/officeDocument/2006/relationships/image" Target="media/image563.jpeg"/><Relationship Id="rId563" Type="http://schemas.openxmlformats.org/officeDocument/2006/relationships/image" Target="media/image562.png"/><Relationship Id="rId562" Type="http://schemas.openxmlformats.org/officeDocument/2006/relationships/image" Target="media/image561.png"/><Relationship Id="rId561" Type="http://schemas.openxmlformats.org/officeDocument/2006/relationships/image" Target="media/image560.png"/><Relationship Id="rId560" Type="http://schemas.openxmlformats.org/officeDocument/2006/relationships/image" Target="media/image559.jpeg"/><Relationship Id="rId56" Type="http://schemas.openxmlformats.org/officeDocument/2006/relationships/image" Target="media/image56.png"/><Relationship Id="rId559" Type="http://schemas.openxmlformats.org/officeDocument/2006/relationships/image" Target="media/image558.png"/><Relationship Id="rId558" Type="http://schemas.openxmlformats.org/officeDocument/2006/relationships/image" Target="media/image557.jpeg"/><Relationship Id="rId557" Type="http://schemas.openxmlformats.org/officeDocument/2006/relationships/image" Target="media/image556.png"/><Relationship Id="rId556" Type="http://schemas.openxmlformats.org/officeDocument/2006/relationships/image" Target="media/image555.jpeg"/><Relationship Id="rId555" Type="http://schemas.openxmlformats.org/officeDocument/2006/relationships/image" Target="media/image554.jpeg"/><Relationship Id="rId554" Type="http://schemas.openxmlformats.org/officeDocument/2006/relationships/image" Target="media/image553.jpeg"/><Relationship Id="rId553" Type="http://schemas.openxmlformats.org/officeDocument/2006/relationships/image" Target="media/image552.png"/><Relationship Id="rId552" Type="http://schemas.openxmlformats.org/officeDocument/2006/relationships/image" Target="media/image551.png"/><Relationship Id="rId551" Type="http://schemas.openxmlformats.org/officeDocument/2006/relationships/image" Target="media/image550.png"/><Relationship Id="rId550" Type="http://schemas.openxmlformats.org/officeDocument/2006/relationships/image" Target="media/image549.png"/><Relationship Id="rId55" Type="http://schemas.openxmlformats.org/officeDocument/2006/relationships/image" Target="media/image55.png"/><Relationship Id="rId549" Type="http://schemas.openxmlformats.org/officeDocument/2006/relationships/image" Target="media/image548.jpeg"/><Relationship Id="rId548" Type="http://schemas.openxmlformats.org/officeDocument/2006/relationships/image" Target="media/image547.png"/><Relationship Id="rId547" Type="http://schemas.openxmlformats.org/officeDocument/2006/relationships/image" Target="media/image546.jpeg"/><Relationship Id="rId546" Type="http://schemas.openxmlformats.org/officeDocument/2006/relationships/image" Target="media/image545.png"/><Relationship Id="rId545" Type="http://schemas.openxmlformats.org/officeDocument/2006/relationships/image" Target="media/image544.jpeg"/><Relationship Id="rId544" Type="http://schemas.openxmlformats.org/officeDocument/2006/relationships/image" Target="media/image543.png"/><Relationship Id="rId543" Type="http://schemas.openxmlformats.org/officeDocument/2006/relationships/image" Target="media/image542.png"/><Relationship Id="rId542" Type="http://schemas.openxmlformats.org/officeDocument/2006/relationships/image" Target="media/image541.jpeg"/><Relationship Id="rId541" Type="http://schemas.openxmlformats.org/officeDocument/2006/relationships/image" Target="media/image540.png"/><Relationship Id="rId540" Type="http://schemas.openxmlformats.org/officeDocument/2006/relationships/image" Target="media/image539.jpeg"/><Relationship Id="rId54" Type="http://schemas.openxmlformats.org/officeDocument/2006/relationships/image" Target="media/image54.jpeg"/><Relationship Id="rId539" Type="http://schemas.openxmlformats.org/officeDocument/2006/relationships/image" Target="media/image538.jpeg"/><Relationship Id="rId538" Type="http://schemas.openxmlformats.org/officeDocument/2006/relationships/image" Target="media/image537.jpeg"/><Relationship Id="rId537" Type="http://schemas.openxmlformats.org/officeDocument/2006/relationships/image" Target="media/image536.jpeg"/><Relationship Id="rId536" Type="http://schemas.openxmlformats.org/officeDocument/2006/relationships/image" Target="media/image535.png"/><Relationship Id="rId535" Type="http://schemas.openxmlformats.org/officeDocument/2006/relationships/image" Target="media/image534.png"/><Relationship Id="rId534" Type="http://schemas.openxmlformats.org/officeDocument/2006/relationships/image" Target="media/image533.png"/><Relationship Id="rId533" Type="http://schemas.openxmlformats.org/officeDocument/2006/relationships/image" Target="media/image532.jpeg"/><Relationship Id="rId532" Type="http://schemas.openxmlformats.org/officeDocument/2006/relationships/image" Target="media/image531.png"/><Relationship Id="rId531" Type="http://schemas.openxmlformats.org/officeDocument/2006/relationships/image" Target="media/image530.jpeg"/><Relationship Id="rId530" Type="http://schemas.openxmlformats.org/officeDocument/2006/relationships/image" Target="media/image529.png"/><Relationship Id="rId53" Type="http://schemas.openxmlformats.org/officeDocument/2006/relationships/image" Target="media/image53.png"/><Relationship Id="rId529" Type="http://schemas.openxmlformats.org/officeDocument/2006/relationships/image" Target="media/image528.jpeg"/><Relationship Id="rId528" Type="http://schemas.openxmlformats.org/officeDocument/2006/relationships/image" Target="media/image527.jpeg"/><Relationship Id="rId527" Type="http://schemas.openxmlformats.org/officeDocument/2006/relationships/image" Target="media/image526.jpeg"/><Relationship Id="rId526" Type="http://schemas.openxmlformats.org/officeDocument/2006/relationships/image" Target="media/image525.jpeg"/><Relationship Id="rId525" Type="http://schemas.openxmlformats.org/officeDocument/2006/relationships/image" Target="media/image524.png"/><Relationship Id="rId524" Type="http://schemas.openxmlformats.org/officeDocument/2006/relationships/image" Target="media/image523.jpeg"/><Relationship Id="rId523" Type="http://schemas.openxmlformats.org/officeDocument/2006/relationships/image" Target="media/image522.jpeg"/><Relationship Id="rId522" Type="http://schemas.openxmlformats.org/officeDocument/2006/relationships/image" Target="media/image521.jpeg"/><Relationship Id="rId521" Type="http://schemas.openxmlformats.org/officeDocument/2006/relationships/image" Target="media/image520.png"/><Relationship Id="rId520" Type="http://schemas.openxmlformats.org/officeDocument/2006/relationships/image" Target="media/image519.jpeg"/><Relationship Id="rId52" Type="http://schemas.openxmlformats.org/officeDocument/2006/relationships/image" Target="media/image52.jpeg"/><Relationship Id="rId519" Type="http://schemas.openxmlformats.org/officeDocument/2006/relationships/image" Target="media/image518.jpeg"/><Relationship Id="rId518" Type="http://schemas.openxmlformats.org/officeDocument/2006/relationships/image" Target="media/image517.jpeg"/><Relationship Id="rId517" Type="http://schemas.openxmlformats.org/officeDocument/2006/relationships/image" Target="media/image516.jpeg"/><Relationship Id="rId516" Type="http://schemas.openxmlformats.org/officeDocument/2006/relationships/image" Target="media/image515.jpeg"/><Relationship Id="rId515" Type="http://schemas.openxmlformats.org/officeDocument/2006/relationships/image" Target="media/image514.jpeg"/><Relationship Id="rId514" Type="http://schemas.openxmlformats.org/officeDocument/2006/relationships/image" Target="media/image513.png"/><Relationship Id="rId513" Type="http://schemas.openxmlformats.org/officeDocument/2006/relationships/image" Target="media/image512.png"/><Relationship Id="rId512" Type="http://schemas.openxmlformats.org/officeDocument/2006/relationships/image" Target="media/image511.png"/><Relationship Id="rId511" Type="http://schemas.openxmlformats.org/officeDocument/2006/relationships/image" Target="media/image510.png"/><Relationship Id="rId510" Type="http://schemas.openxmlformats.org/officeDocument/2006/relationships/image" Target="media/image509.png"/><Relationship Id="rId51" Type="http://schemas.openxmlformats.org/officeDocument/2006/relationships/image" Target="media/image51.jpeg"/><Relationship Id="rId509" Type="http://schemas.openxmlformats.org/officeDocument/2006/relationships/image" Target="media/image508.jpeg"/><Relationship Id="rId508" Type="http://schemas.openxmlformats.org/officeDocument/2006/relationships/image" Target="media/image507.png"/><Relationship Id="rId507" Type="http://schemas.openxmlformats.org/officeDocument/2006/relationships/image" Target="media/image506.jpeg"/><Relationship Id="rId506" Type="http://schemas.openxmlformats.org/officeDocument/2006/relationships/image" Target="media/image505.png"/><Relationship Id="rId505" Type="http://schemas.openxmlformats.org/officeDocument/2006/relationships/image" Target="media/image504.jpeg"/><Relationship Id="rId504" Type="http://schemas.openxmlformats.org/officeDocument/2006/relationships/image" Target="media/image503.jpeg"/><Relationship Id="rId503" Type="http://schemas.openxmlformats.org/officeDocument/2006/relationships/image" Target="media/image502.jpeg"/><Relationship Id="rId502" Type="http://schemas.openxmlformats.org/officeDocument/2006/relationships/image" Target="media/image501.jpeg"/><Relationship Id="rId501" Type="http://schemas.openxmlformats.org/officeDocument/2006/relationships/image" Target="media/image500.jpeg"/><Relationship Id="rId500" Type="http://schemas.openxmlformats.org/officeDocument/2006/relationships/image" Target="media/image499.jpeg"/><Relationship Id="rId50" Type="http://schemas.openxmlformats.org/officeDocument/2006/relationships/image" Target="media/image50.png"/><Relationship Id="rId5" Type="http://schemas.openxmlformats.org/officeDocument/2006/relationships/image" Target="media/image5.jpeg"/><Relationship Id="rId499" Type="http://schemas.openxmlformats.org/officeDocument/2006/relationships/image" Target="media/image498.jpeg"/><Relationship Id="rId498" Type="http://schemas.openxmlformats.org/officeDocument/2006/relationships/image" Target="media/image497.jpeg"/><Relationship Id="rId497" Type="http://schemas.openxmlformats.org/officeDocument/2006/relationships/image" Target="media/image496.png"/><Relationship Id="rId496" Type="http://schemas.openxmlformats.org/officeDocument/2006/relationships/image" Target="media/image495.jpeg"/><Relationship Id="rId495" Type="http://schemas.openxmlformats.org/officeDocument/2006/relationships/image" Target="media/image494.jpeg"/><Relationship Id="rId494" Type="http://schemas.openxmlformats.org/officeDocument/2006/relationships/image" Target="media/image493.png"/><Relationship Id="rId493" Type="http://schemas.openxmlformats.org/officeDocument/2006/relationships/image" Target="media/image492.jpeg"/><Relationship Id="rId492" Type="http://schemas.openxmlformats.org/officeDocument/2006/relationships/image" Target="media/image491.png"/><Relationship Id="rId491" Type="http://schemas.openxmlformats.org/officeDocument/2006/relationships/image" Target="media/image490.png"/><Relationship Id="rId490" Type="http://schemas.openxmlformats.org/officeDocument/2006/relationships/image" Target="media/image489.png"/><Relationship Id="rId49" Type="http://schemas.openxmlformats.org/officeDocument/2006/relationships/image" Target="media/image49.png"/><Relationship Id="rId489" Type="http://schemas.openxmlformats.org/officeDocument/2006/relationships/image" Target="media/image488.png"/><Relationship Id="rId488" Type="http://schemas.openxmlformats.org/officeDocument/2006/relationships/image" Target="media/image487.jpeg"/><Relationship Id="rId487" Type="http://schemas.openxmlformats.org/officeDocument/2006/relationships/image" Target="media/image486.jpeg"/><Relationship Id="rId486" Type="http://schemas.openxmlformats.org/officeDocument/2006/relationships/image" Target="media/image485.jpeg"/><Relationship Id="rId485" Type="http://schemas.openxmlformats.org/officeDocument/2006/relationships/image" Target="media/image484.jpeg"/><Relationship Id="rId484" Type="http://schemas.openxmlformats.org/officeDocument/2006/relationships/image" Target="media/image483.jpeg"/><Relationship Id="rId483" Type="http://schemas.openxmlformats.org/officeDocument/2006/relationships/image" Target="media/image482.jpeg"/><Relationship Id="rId482" Type="http://schemas.openxmlformats.org/officeDocument/2006/relationships/image" Target="media/image481.jpeg"/><Relationship Id="rId481" Type="http://schemas.openxmlformats.org/officeDocument/2006/relationships/image" Target="media/image480.jpeg"/><Relationship Id="rId480" Type="http://schemas.openxmlformats.org/officeDocument/2006/relationships/image" Target="media/image479.png"/><Relationship Id="rId48" Type="http://schemas.openxmlformats.org/officeDocument/2006/relationships/image" Target="media/image48.jpeg"/><Relationship Id="rId479" Type="http://schemas.openxmlformats.org/officeDocument/2006/relationships/image" Target="media/image478.jpeg"/><Relationship Id="rId478" Type="http://schemas.openxmlformats.org/officeDocument/2006/relationships/image" Target="media/image477.png"/><Relationship Id="rId477" Type="http://schemas.openxmlformats.org/officeDocument/2006/relationships/image" Target="media/image476.jpeg"/><Relationship Id="rId476" Type="http://schemas.openxmlformats.org/officeDocument/2006/relationships/image" Target="media/image475.jpeg"/><Relationship Id="rId475" Type="http://schemas.openxmlformats.org/officeDocument/2006/relationships/image" Target="media/image474.jpeg"/><Relationship Id="rId474" Type="http://schemas.openxmlformats.org/officeDocument/2006/relationships/image" Target="media/image473.png"/><Relationship Id="rId473" Type="http://schemas.openxmlformats.org/officeDocument/2006/relationships/image" Target="media/image472.jpeg"/><Relationship Id="rId472" Type="http://schemas.openxmlformats.org/officeDocument/2006/relationships/image" Target="media/image471.jpeg"/><Relationship Id="rId471" Type="http://schemas.openxmlformats.org/officeDocument/2006/relationships/image" Target="media/image470.jpeg"/><Relationship Id="rId470" Type="http://schemas.openxmlformats.org/officeDocument/2006/relationships/image" Target="media/image469.png"/><Relationship Id="rId47" Type="http://schemas.openxmlformats.org/officeDocument/2006/relationships/image" Target="media/image47.png"/><Relationship Id="rId469" Type="http://schemas.openxmlformats.org/officeDocument/2006/relationships/image" Target="media/image468.png"/><Relationship Id="rId468" Type="http://schemas.openxmlformats.org/officeDocument/2006/relationships/image" Target="media/image467.png"/><Relationship Id="rId467" Type="http://schemas.openxmlformats.org/officeDocument/2006/relationships/image" Target="media/image466.png"/><Relationship Id="rId466" Type="http://schemas.openxmlformats.org/officeDocument/2006/relationships/image" Target="media/image465.jpeg"/><Relationship Id="rId465" Type="http://schemas.openxmlformats.org/officeDocument/2006/relationships/image" Target="media/image464.jpeg"/><Relationship Id="rId464" Type="http://schemas.openxmlformats.org/officeDocument/2006/relationships/image" Target="media/image463.png"/><Relationship Id="rId463" Type="http://schemas.openxmlformats.org/officeDocument/2006/relationships/image" Target="media/image462.png"/><Relationship Id="rId462" Type="http://schemas.openxmlformats.org/officeDocument/2006/relationships/image" Target="media/image461.png"/><Relationship Id="rId461" Type="http://schemas.openxmlformats.org/officeDocument/2006/relationships/image" Target="media/image460.jpeg"/><Relationship Id="rId460" Type="http://schemas.openxmlformats.org/officeDocument/2006/relationships/image" Target="media/image459.png"/><Relationship Id="rId46" Type="http://schemas.openxmlformats.org/officeDocument/2006/relationships/image" Target="media/image46.png"/><Relationship Id="rId459" Type="http://schemas.openxmlformats.org/officeDocument/2006/relationships/image" Target="media/image458.jpeg"/><Relationship Id="rId458" Type="http://schemas.openxmlformats.org/officeDocument/2006/relationships/image" Target="media/image457.png"/><Relationship Id="rId457" Type="http://schemas.openxmlformats.org/officeDocument/2006/relationships/image" Target="media/image456.jpeg"/><Relationship Id="rId456" Type="http://schemas.openxmlformats.org/officeDocument/2006/relationships/image" Target="media/image455.png"/><Relationship Id="rId455" Type="http://schemas.openxmlformats.org/officeDocument/2006/relationships/image" Target="media/image454.jpeg"/><Relationship Id="rId454" Type="http://schemas.openxmlformats.org/officeDocument/2006/relationships/image" Target="media/image453.jpeg"/><Relationship Id="rId453" Type="http://schemas.openxmlformats.org/officeDocument/2006/relationships/image" Target="media/image452.png"/><Relationship Id="rId452" Type="http://schemas.openxmlformats.org/officeDocument/2006/relationships/image" Target="media/image451.jpeg"/><Relationship Id="rId451" Type="http://schemas.openxmlformats.org/officeDocument/2006/relationships/image" Target="media/image450.jpeg"/><Relationship Id="rId450" Type="http://schemas.openxmlformats.org/officeDocument/2006/relationships/image" Target="media/image449.jpeg"/><Relationship Id="rId45" Type="http://schemas.openxmlformats.org/officeDocument/2006/relationships/image" Target="media/image45.jpeg"/><Relationship Id="rId449" Type="http://schemas.openxmlformats.org/officeDocument/2006/relationships/image" Target="media/image448.png"/><Relationship Id="rId448" Type="http://schemas.openxmlformats.org/officeDocument/2006/relationships/image" Target="media/image447.png"/><Relationship Id="rId447" Type="http://schemas.openxmlformats.org/officeDocument/2006/relationships/image" Target="media/image446.jpeg"/><Relationship Id="rId446" Type="http://schemas.openxmlformats.org/officeDocument/2006/relationships/image" Target="media/image445.jpeg"/><Relationship Id="rId445" Type="http://schemas.openxmlformats.org/officeDocument/2006/relationships/image" Target="media/image444.jpeg"/><Relationship Id="rId444" Type="http://schemas.openxmlformats.org/officeDocument/2006/relationships/image" Target="media/image443.png"/><Relationship Id="rId443" Type="http://schemas.openxmlformats.org/officeDocument/2006/relationships/image" Target="media/image442.png"/><Relationship Id="rId442" Type="http://schemas.openxmlformats.org/officeDocument/2006/relationships/image" Target="media/image441.png"/><Relationship Id="rId441" Type="http://schemas.openxmlformats.org/officeDocument/2006/relationships/image" Target="media/image440.png"/><Relationship Id="rId440" Type="http://schemas.openxmlformats.org/officeDocument/2006/relationships/image" Target="media/image439.png"/><Relationship Id="rId44" Type="http://schemas.openxmlformats.org/officeDocument/2006/relationships/image" Target="media/image44.jpeg"/><Relationship Id="rId439" Type="http://schemas.openxmlformats.org/officeDocument/2006/relationships/image" Target="media/image438.png"/><Relationship Id="rId438" Type="http://schemas.openxmlformats.org/officeDocument/2006/relationships/image" Target="media/image437.jpeg"/><Relationship Id="rId437" Type="http://schemas.openxmlformats.org/officeDocument/2006/relationships/image" Target="media/image436.jpeg"/><Relationship Id="rId436" Type="http://schemas.openxmlformats.org/officeDocument/2006/relationships/image" Target="media/image435.png"/><Relationship Id="rId435" Type="http://schemas.openxmlformats.org/officeDocument/2006/relationships/image" Target="media/image434.png"/><Relationship Id="rId434" Type="http://schemas.openxmlformats.org/officeDocument/2006/relationships/image" Target="media/image433.png"/><Relationship Id="rId433" Type="http://schemas.openxmlformats.org/officeDocument/2006/relationships/image" Target="media/image432.jpeg"/><Relationship Id="rId432" Type="http://schemas.openxmlformats.org/officeDocument/2006/relationships/image" Target="media/image431.jpeg"/><Relationship Id="rId431" Type="http://schemas.openxmlformats.org/officeDocument/2006/relationships/image" Target="media/image430.png"/><Relationship Id="rId430" Type="http://schemas.openxmlformats.org/officeDocument/2006/relationships/image" Target="media/image429.jpeg"/><Relationship Id="rId43" Type="http://schemas.openxmlformats.org/officeDocument/2006/relationships/image" Target="media/image43.png"/><Relationship Id="rId429" Type="http://schemas.openxmlformats.org/officeDocument/2006/relationships/image" Target="media/image428.jpeg"/><Relationship Id="rId428" Type="http://schemas.openxmlformats.org/officeDocument/2006/relationships/image" Target="media/image427.jpeg"/><Relationship Id="rId427" Type="http://schemas.openxmlformats.org/officeDocument/2006/relationships/image" Target="media/image426.jpeg"/><Relationship Id="rId426" Type="http://schemas.openxmlformats.org/officeDocument/2006/relationships/image" Target="media/image425.png"/><Relationship Id="rId425" Type="http://schemas.openxmlformats.org/officeDocument/2006/relationships/image" Target="media/image424.png"/><Relationship Id="rId424" Type="http://schemas.openxmlformats.org/officeDocument/2006/relationships/image" Target="media/image423.jpeg"/><Relationship Id="rId423" Type="http://schemas.openxmlformats.org/officeDocument/2006/relationships/image" Target="media/image422.png"/><Relationship Id="rId422" Type="http://schemas.openxmlformats.org/officeDocument/2006/relationships/image" Target="media/image421.jpeg"/><Relationship Id="rId421" Type="http://schemas.openxmlformats.org/officeDocument/2006/relationships/image" Target="media/image420.jpeg"/><Relationship Id="rId420" Type="http://schemas.openxmlformats.org/officeDocument/2006/relationships/image" Target="media/image419.jpeg"/><Relationship Id="rId42" Type="http://schemas.openxmlformats.org/officeDocument/2006/relationships/image" Target="media/image42.png"/><Relationship Id="rId419" Type="http://schemas.openxmlformats.org/officeDocument/2006/relationships/image" Target="media/image418.jpeg"/><Relationship Id="rId418" Type="http://schemas.openxmlformats.org/officeDocument/2006/relationships/image" Target="media/image417.png"/><Relationship Id="rId417" Type="http://schemas.openxmlformats.org/officeDocument/2006/relationships/image" Target="media/image416.jpeg"/><Relationship Id="rId416" Type="http://schemas.openxmlformats.org/officeDocument/2006/relationships/image" Target="media/image415.jpeg"/><Relationship Id="rId415" Type="http://schemas.openxmlformats.org/officeDocument/2006/relationships/image" Target="media/image414.jpeg"/><Relationship Id="rId414" Type="http://schemas.openxmlformats.org/officeDocument/2006/relationships/image" Target="media/image413.jpeg"/><Relationship Id="rId413" Type="http://schemas.openxmlformats.org/officeDocument/2006/relationships/image" Target="media/image412.jpeg"/><Relationship Id="rId412" Type="http://schemas.openxmlformats.org/officeDocument/2006/relationships/image" Target="media/image411.jpeg"/><Relationship Id="rId411" Type="http://schemas.openxmlformats.org/officeDocument/2006/relationships/image" Target="media/image410.jpeg"/><Relationship Id="rId410" Type="http://schemas.openxmlformats.org/officeDocument/2006/relationships/image" Target="media/image409.jpeg"/><Relationship Id="rId41" Type="http://schemas.openxmlformats.org/officeDocument/2006/relationships/image" Target="media/image41.png"/><Relationship Id="rId409" Type="http://schemas.openxmlformats.org/officeDocument/2006/relationships/image" Target="media/image408.png"/><Relationship Id="rId408" Type="http://schemas.openxmlformats.org/officeDocument/2006/relationships/image" Target="media/image407.png"/><Relationship Id="rId407" Type="http://schemas.openxmlformats.org/officeDocument/2006/relationships/image" Target="media/image406.png"/><Relationship Id="rId406" Type="http://schemas.openxmlformats.org/officeDocument/2006/relationships/image" Target="media/image405.jpeg"/><Relationship Id="rId405" Type="http://schemas.openxmlformats.org/officeDocument/2006/relationships/image" Target="media/image404.webp"/><Relationship Id="rId404" Type="http://schemas.openxmlformats.org/officeDocument/2006/relationships/image" Target="media/image403.jpeg"/><Relationship Id="rId403" Type="http://schemas.openxmlformats.org/officeDocument/2006/relationships/image" Target="media/image402.jpeg"/><Relationship Id="rId402" Type="http://schemas.openxmlformats.org/officeDocument/2006/relationships/image" Target="media/image401.jpeg"/><Relationship Id="rId401" Type="http://schemas.openxmlformats.org/officeDocument/2006/relationships/image" Target="media/image400.png"/><Relationship Id="rId400" Type="http://schemas.openxmlformats.org/officeDocument/2006/relationships/image" Target="media/image399.png"/><Relationship Id="rId40" Type="http://schemas.openxmlformats.org/officeDocument/2006/relationships/image" Target="media/image40.png"/><Relationship Id="rId4" Type="http://schemas.openxmlformats.org/officeDocument/2006/relationships/image" Target="media/image4.jpeg"/><Relationship Id="rId399" Type="http://schemas.openxmlformats.org/officeDocument/2006/relationships/image" Target="media/image398.png"/><Relationship Id="rId398" Type="http://schemas.openxmlformats.org/officeDocument/2006/relationships/image" Target="media/image397.png"/><Relationship Id="rId397" Type="http://schemas.openxmlformats.org/officeDocument/2006/relationships/image" Target="media/image396.jpeg"/><Relationship Id="rId396" Type="http://schemas.openxmlformats.org/officeDocument/2006/relationships/image" Target="media/image395.jpeg"/><Relationship Id="rId395" Type="http://schemas.openxmlformats.org/officeDocument/2006/relationships/image" Target="media/image394.png"/><Relationship Id="rId394" Type="http://schemas.openxmlformats.org/officeDocument/2006/relationships/image" Target="media/image393.png"/><Relationship Id="rId393" Type="http://schemas.openxmlformats.org/officeDocument/2006/relationships/image" Target="media/image392.jpeg"/><Relationship Id="rId392" Type="http://schemas.openxmlformats.org/officeDocument/2006/relationships/image" Target="media/image391.png"/><Relationship Id="rId391" Type="http://schemas.openxmlformats.org/officeDocument/2006/relationships/image" Target="media/image390.jpeg"/><Relationship Id="rId390" Type="http://schemas.openxmlformats.org/officeDocument/2006/relationships/image" Target="media/image389.jpeg"/><Relationship Id="rId39" Type="http://schemas.openxmlformats.org/officeDocument/2006/relationships/image" Target="media/image39.jpeg"/><Relationship Id="rId389" Type="http://schemas.openxmlformats.org/officeDocument/2006/relationships/image" Target="media/image388.jpeg"/><Relationship Id="rId388" Type="http://schemas.openxmlformats.org/officeDocument/2006/relationships/image" Target="media/image387.jpeg"/><Relationship Id="rId387" Type="http://schemas.openxmlformats.org/officeDocument/2006/relationships/image" Target="media/image386.png"/><Relationship Id="rId386" Type="http://schemas.openxmlformats.org/officeDocument/2006/relationships/image" Target="media/image385.png"/><Relationship Id="rId385" Type="http://schemas.openxmlformats.org/officeDocument/2006/relationships/image" Target="media/image384.jpeg"/><Relationship Id="rId384" Type="http://schemas.openxmlformats.org/officeDocument/2006/relationships/image" Target="media/image383.jpeg"/><Relationship Id="rId383" Type="http://schemas.openxmlformats.org/officeDocument/2006/relationships/image" Target="media/image382.jpeg"/><Relationship Id="rId382" Type="http://schemas.openxmlformats.org/officeDocument/2006/relationships/image" Target="media/image381.png"/><Relationship Id="rId381" Type="http://schemas.openxmlformats.org/officeDocument/2006/relationships/image" Target="media/image380.jpeg"/><Relationship Id="rId380" Type="http://schemas.openxmlformats.org/officeDocument/2006/relationships/image" Target="media/image379.png"/><Relationship Id="rId38" Type="http://schemas.openxmlformats.org/officeDocument/2006/relationships/image" Target="media/image38.jpeg"/><Relationship Id="rId379" Type="http://schemas.openxmlformats.org/officeDocument/2006/relationships/image" Target="media/image378.jpeg"/><Relationship Id="rId378" Type="http://schemas.openxmlformats.org/officeDocument/2006/relationships/image" Target="media/image377.jpeg"/><Relationship Id="rId377" Type="http://schemas.openxmlformats.org/officeDocument/2006/relationships/image" Target="media/image376.png"/><Relationship Id="rId376" Type="http://schemas.openxmlformats.org/officeDocument/2006/relationships/image" Target="media/image375.png"/><Relationship Id="rId375" Type="http://schemas.openxmlformats.org/officeDocument/2006/relationships/image" Target="media/image374.png"/><Relationship Id="rId374" Type="http://schemas.openxmlformats.org/officeDocument/2006/relationships/image" Target="media/image373.jpeg"/><Relationship Id="rId373" Type="http://schemas.openxmlformats.org/officeDocument/2006/relationships/image" Target="media/image372.png"/><Relationship Id="rId372" Type="http://schemas.openxmlformats.org/officeDocument/2006/relationships/image" Target="media/image371.jpeg"/><Relationship Id="rId371" Type="http://schemas.openxmlformats.org/officeDocument/2006/relationships/image" Target="media/image370.png"/><Relationship Id="rId370" Type="http://schemas.openxmlformats.org/officeDocument/2006/relationships/image" Target="media/image369.jpeg"/><Relationship Id="rId37" Type="http://schemas.openxmlformats.org/officeDocument/2006/relationships/image" Target="media/image37.jpeg"/><Relationship Id="rId369" Type="http://schemas.openxmlformats.org/officeDocument/2006/relationships/image" Target="media/image368.png"/><Relationship Id="rId368" Type="http://schemas.openxmlformats.org/officeDocument/2006/relationships/image" Target="media/image367.jpeg"/><Relationship Id="rId367" Type="http://schemas.openxmlformats.org/officeDocument/2006/relationships/image" Target="media/image366.jpeg"/><Relationship Id="rId366" Type="http://schemas.openxmlformats.org/officeDocument/2006/relationships/image" Target="media/image365.png"/><Relationship Id="rId365" Type="http://schemas.openxmlformats.org/officeDocument/2006/relationships/image" Target="media/image364.jpeg"/><Relationship Id="rId364" Type="http://schemas.openxmlformats.org/officeDocument/2006/relationships/image" Target="media/image363.jpeg"/><Relationship Id="rId363" Type="http://schemas.openxmlformats.org/officeDocument/2006/relationships/image" Target="media/image362.jpeg"/><Relationship Id="rId362" Type="http://schemas.openxmlformats.org/officeDocument/2006/relationships/image" Target="media/image361.jpeg"/><Relationship Id="rId361" Type="http://schemas.openxmlformats.org/officeDocument/2006/relationships/image" Target="media/image360.jpeg"/><Relationship Id="rId360" Type="http://schemas.openxmlformats.org/officeDocument/2006/relationships/image" Target="media/image359.png"/><Relationship Id="rId36" Type="http://schemas.openxmlformats.org/officeDocument/2006/relationships/image" Target="media/image36.png"/><Relationship Id="rId359" Type="http://schemas.openxmlformats.org/officeDocument/2006/relationships/image" Target="media/image358.jpeg"/><Relationship Id="rId358" Type="http://schemas.openxmlformats.org/officeDocument/2006/relationships/image" Target="media/image357.png"/><Relationship Id="rId357" Type="http://schemas.openxmlformats.org/officeDocument/2006/relationships/image" Target="media/image356.jpeg"/><Relationship Id="rId356" Type="http://schemas.openxmlformats.org/officeDocument/2006/relationships/image" Target="media/image355.jpeg"/><Relationship Id="rId355" Type="http://schemas.openxmlformats.org/officeDocument/2006/relationships/image" Target="media/image354.jpeg"/><Relationship Id="rId354" Type="http://schemas.openxmlformats.org/officeDocument/2006/relationships/image" Target="media/image353.jpeg"/><Relationship Id="rId353" Type="http://schemas.openxmlformats.org/officeDocument/2006/relationships/image" Target="media/image352.jpeg"/><Relationship Id="rId352" Type="http://schemas.openxmlformats.org/officeDocument/2006/relationships/image" Target="media/image351.jpeg"/><Relationship Id="rId351" Type="http://schemas.openxmlformats.org/officeDocument/2006/relationships/image" Target="media/image350.jpeg"/><Relationship Id="rId350" Type="http://schemas.openxmlformats.org/officeDocument/2006/relationships/image" Target="media/image349.jpeg"/><Relationship Id="rId35" Type="http://schemas.openxmlformats.org/officeDocument/2006/relationships/image" Target="media/image35.png"/><Relationship Id="rId349" Type="http://schemas.openxmlformats.org/officeDocument/2006/relationships/image" Target="media/image348.jpeg"/><Relationship Id="rId348" Type="http://schemas.openxmlformats.org/officeDocument/2006/relationships/image" Target="media/image347.jpeg"/><Relationship Id="rId347" Type="http://schemas.openxmlformats.org/officeDocument/2006/relationships/image" Target="media/image346.jpeg"/><Relationship Id="rId346" Type="http://schemas.openxmlformats.org/officeDocument/2006/relationships/image" Target="media/image345.jpeg"/><Relationship Id="rId345" Type="http://schemas.openxmlformats.org/officeDocument/2006/relationships/image" Target="media/image344.jpeg"/><Relationship Id="rId344" Type="http://schemas.openxmlformats.org/officeDocument/2006/relationships/image" Target="media/image343.png"/><Relationship Id="rId343" Type="http://schemas.openxmlformats.org/officeDocument/2006/relationships/image" Target="media/image342.jpeg"/><Relationship Id="rId342" Type="http://schemas.openxmlformats.org/officeDocument/2006/relationships/image" Target="media/image341.jpeg"/><Relationship Id="rId341" Type="http://schemas.openxmlformats.org/officeDocument/2006/relationships/image" Target="media/image340.png"/><Relationship Id="rId340" Type="http://schemas.openxmlformats.org/officeDocument/2006/relationships/image" Target="media/image339.jpeg"/><Relationship Id="rId34" Type="http://schemas.openxmlformats.org/officeDocument/2006/relationships/image" Target="media/image34.png"/><Relationship Id="rId339" Type="http://schemas.openxmlformats.org/officeDocument/2006/relationships/image" Target="media/image338.jpeg"/><Relationship Id="rId338" Type="http://schemas.openxmlformats.org/officeDocument/2006/relationships/image" Target="media/image337.png"/><Relationship Id="rId337" Type="http://schemas.openxmlformats.org/officeDocument/2006/relationships/image" Target="media/image336.png"/><Relationship Id="rId336" Type="http://schemas.openxmlformats.org/officeDocument/2006/relationships/image" Target="media/image335.jpeg"/><Relationship Id="rId335" Type="http://schemas.openxmlformats.org/officeDocument/2006/relationships/image" Target="media/image334.jpeg"/><Relationship Id="rId334" Type="http://schemas.openxmlformats.org/officeDocument/2006/relationships/image" Target="media/image333.jpeg"/><Relationship Id="rId333" Type="http://schemas.openxmlformats.org/officeDocument/2006/relationships/image" Target="media/image332.jpeg"/><Relationship Id="rId332" Type="http://schemas.openxmlformats.org/officeDocument/2006/relationships/image" Target="media/image331.png"/><Relationship Id="rId331" Type="http://schemas.openxmlformats.org/officeDocument/2006/relationships/image" Target="media/image330.png"/><Relationship Id="rId330" Type="http://schemas.openxmlformats.org/officeDocument/2006/relationships/image" Target="media/image329.png"/><Relationship Id="rId33" Type="http://schemas.openxmlformats.org/officeDocument/2006/relationships/image" Target="media/image33.jpeg"/><Relationship Id="rId329" Type="http://schemas.openxmlformats.org/officeDocument/2006/relationships/image" Target="media/image328.jpeg"/><Relationship Id="rId328" Type="http://schemas.openxmlformats.org/officeDocument/2006/relationships/image" Target="media/image327.png"/><Relationship Id="rId327" Type="http://schemas.openxmlformats.org/officeDocument/2006/relationships/image" Target="media/image326.png"/><Relationship Id="rId326" Type="http://schemas.openxmlformats.org/officeDocument/2006/relationships/image" Target="media/image325.jpeg"/><Relationship Id="rId325" Type="http://schemas.openxmlformats.org/officeDocument/2006/relationships/image" Target="media/image324.jpeg"/><Relationship Id="rId324" Type="http://schemas.openxmlformats.org/officeDocument/2006/relationships/image" Target="media/image323.png"/><Relationship Id="rId323" Type="http://schemas.openxmlformats.org/officeDocument/2006/relationships/image" Target="media/image322.jpeg"/><Relationship Id="rId322" Type="http://schemas.openxmlformats.org/officeDocument/2006/relationships/image" Target="media/image321.png"/><Relationship Id="rId321" Type="http://schemas.openxmlformats.org/officeDocument/2006/relationships/image" Target="media/image320.png"/><Relationship Id="rId320" Type="http://schemas.openxmlformats.org/officeDocument/2006/relationships/image" Target="media/image319.jpeg"/><Relationship Id="rId32" Type="http://schemas.openxmlformats.org/officeDocument/2006/relationships/image" Target="media/image32.jpeg"/><Relationship Id="rId319" Type="http://schemas.openxmlformats.org/officeDocument/2006/relationships/image" Target="media/image318.png"/><Relationship Id="rId318" Type="http://schemas.openxmlformats.org/officeDocument/2006/relationships/image" Target="media/image317.jpeg"/><Relationship Id="rId317" Type="http://schemas.openxmlformats.org/officeDocument/2006/relationships/image" Target="media/image316.jpeg"/><Relationship Id="rId316" Type="http://schemas.openxmlformats.org/officeDocument/2006/relationships/image" Target="media/image315.jpeg"/><Relationship Id="rId315" Type="http://schemas.openxmlformats.org/officeDocument/2006/relationships/image" Target="media/image314.jpeg"/><Relationship Id="rId314" Type="http://schemas.openxmlformats.org/officeDocument/2006/relationships/image" Target="media/image313.png"/><Relationship Id="rId313" Type="http://schemas.openxmlformats.org/officeDocument/2006/relationships/image" Target="media/image312.png"/><Relationship Id="rId312" Type="http://schemas.openxmlformats.org/officeDocument/2006/relationships/image" Target="media/image311.jpeg"/><Relationship Id="rId311" Type="http://schemas.openxmlformats.org/officeDocument/2006/relationships/image" Target="media/image310.png"/><Relationship Id="rId310" Type="http://schemas.openxmlformats.org/officeDocument/2006/relationships/image" Target="media/image309.jpeg"/><Relationship Id="rId31" Type="http://schemas.openxmlformats.org/officeDocument/2006/relationships/image" Target="media/image31.png"/><Relationship Id="rId309" Type="http://schemas.openxmlformats.org/officeDocument/2006/relationships/image" Target="media/image308.webp"/><Relationship Id="rId308" Type="http://schemas.openxmlformats.org/officeDocument/2006/relationships/image" Target="media/image307.jpeg"/><Relationship Id="rId307" Type="http://schemas.openxmlformats.org/officeDocument/2006/relationships/image" Target="media/image306.jpeg"/><Relationship Id="rId306" Type="http://schemas.openxmlformats.org/officeDocument/2006/relationships/image" Target="media/image305.jpeg"/><Relationship Id="rId305" Type="http://schemas.openxmlformats.org/officeDocument/2006/relationships/image" Target="media/image304.png"/><Relationship Id="rId304" Type="http://schemas.openxmlformats.org/officeDocument/2006/relationships/image" Target="media/image303.png"/><Relationship Id="rId303" Type="http://schemas.openxmlformats.org/officeDocument/2006/relationships/image" Target="media/image302.png"/><Relationship Id="rId302" Type="http://schemas.openxmlformats.org/officeDocument/2006/relationships/image" Target="media/image301.jpeg"/><Relationship Id="rId301" Type="http://schemas.openxmlformats.org/officeDocument/2006/relationships/image" Target="media/image300.png"/><Relationship Id="rId300" Type="http://schemas.openxmlformats.org/officeDocument/2006/relationships/image" Target="media/image299.jpeg"/><Relationship Id="rId30" Type="http://schemas.openxmlformats.org/officeDocument/2006/relationships/image" Target="media/image30.jpeg"/><Relationship Id="rId3" Type="http://schemas.openxmlformats.org/officeDocument/2006/relationships/image" Target="media/image3.png"/><Relationship Id="rId299" Type="http://schemas.openxmlformats.org/officeDocument/2006/relationships/image" Target="media/image298.jpeg"/><Relationship Id="rId298" Type="http://schemas.openxmlformats.org/officeDocument/2006/relationships/image" Target="media/image297.jpeg"/><Relationship Id="rId297" Type="http://schemas.openxmlformats.org/officeDocument/2006/relationships/image" Target="media/image296.png"/><Relationship Id="rId296" Type="http://schemas.openxmlformats.org/officeDocument/2006/relationships/image" Target="media/image295.png"/><Relationship Id="rId295" Type="http://schemas.openxmlformats.org/officeDocument/2006/relationships/image" Target="media/image294.png"/><Relationship Id="rId294" Type="http://schemas.openxmlformats.org/officeDocument/2006/relationships/image" Target="media/image293.png"/><Relationship Id="rId293" Type="http://schemas.openxmlformats.org/officeDocument/2006/relationships/image" Target="media/image292.jpeg"/><Relationship Id="rId292" Type="http://schemas.openxmlformats.org/officeDocument/2006/relationships/image" Target="media/image291.jpeg"/><Relationship Id="rId291" Type="http://schemas.openxmlformats.org/officeDocument/2006/relationships/image" Target="media/image290.jpeg"/><Relationship Id="rId290" Type="http://schemas.openxmlformats.org/officeDocument/2006/relationships/image" Target="media/image289.png"/><Relationship Id="rId29" Type="http://schemas.openxmlformats.org/officeDocument/2006/relationships/image" Target="media/image29.png"/><Relationship Id="rId289" Type="http://schemas.openxmlformats.org/officeDocument/2006/relationships/image" Target="media/image288.png"/><Relationship Id="rId288" Type="http://schemas.openxmlformats.org/officeDocument/2006/relationships/image" Target="media/image287.jpeg"/><Relationship Id="rId287" Type="http://schemas.openxmlformats.org/officeDocument/2006/relationships/image" Target="media/image286.png"/><Relationship Id="rId286" Type="http://schemas.openxmlformats.org/officeDocument/2006/relationships/image" Target="media/image285.png"/><Relationship Id="rId285" Type="http://schemas.openxmlformats.org/officeDocument/2006/relationships/image" Target="media/image284.png"/><Relationship Id="rId284" Type="http://schemas.openxmlformats.org/officeDocument/2006/relationships/image" Target="media/image283.jpeg"/><Relationship Id="rId283" Type="http://schemas.openxmlformats.org/officeDocument/2006/relationships/image" Target="media/image282.png"/><Relationship Id="rId282" Type="http://schemas.openxmlformats.org/officeDocument/2006/relationships/image" Target="media/image281.png"/><Relationship Id="rId281" Type="http://schemas.openxmlformats.org/officeDocument/2006/relationships/image" Target="media/image280.jpeg"/><Relationship Id="rId280" Type="http://schemas.openxmlformats.org/officeDocument/2006/relationships/image" Target="media/image279.png"/><Relationship Id="rId28" Type="http://schemas.openxmlformats.org/officeDocument/2006/relationships/image" Target="media/image28.jpeg"/><Relationship Id="rId279" Type="http://schemas.openxmlformats.org/officeDocument/2006/relationships/image" Target="media/image278.png"/><Relationship Id="rId278" Type="http://schemas.openxmlformats.org/officeDocument/2006/relationships/image" Target="media/image277.jpeg"/><Relationship Id="rId277" Type="http://schemas.openxmlformats.org/officeDocument/2006/relationships/image" Target="media/image276.jpeg"/><Relationship Id="rId276" Type="http://schemas.openxmlformats.org/officeDocument/2006/relationships/image" Target="media/image275.jpeg"/><Relationship Id="rId275" Type="http://schemas.openxmlformats.org/officeDocument/2006/relationships/image" Target="media/image274.png"/><Relationship Id="rId274" Type="http://schemas.openxmlformats.org/officeDocument/2006/relationships/image" Target="NULL" TargetMode="External"/><Relationship Id="rId273" Type="http://schemas.openxmlformats.org/officeDocument/2006/relationships/image" Target="media/image273.webp"/><Relationship Id="rId272" Type="http://schemas.openxmlformats.org/officeDocument/2006/relationships/image" Target="media/image272.png"/><Relationship Id="rId271" Type="http://schemas.openxmlformats.org/officeDocument/2006/relationships/image" Target="media/image271.jpeg"/><Relationship Id="rId270" Type="http://schemas.openxmlformats.org/officeDocument/2006/relationships/image" Target="media/image270.png"/><Relationship Id="rId27" Type="http://schemas.openxmlformats.org/officeDocument/2006/relationships/image" Target="media/image27.jpeg"/><Relationship Id="rId269" Type="http://schemas.openxmlformats.org/officeDocument/2006/relationships/image" Target="media/image269.jpeg"/><Relationship Id="rId268" Type="http://schemas.openxmlformats.org/officeDocument/2006/relationships/image" Target="media/image268.png"/><Relationship Id="rId267" Type="http://schemas.openxmlformats.org/officeDocument/2006/relationships/image" Target="media/image267.png"/><Relationship Id="rId266" Type="http://schemas.openxmlformats.org/officeDocument/2006/relationships/image" Target="media/image266.png"/><Relationship Id="rId265" Type="http://schemas.openxmlformats.org/officeDocument/2006/relationships/image" Target="media/image265.png"/><Relationship Id="rId264" Type="http://schemas.openxmlformats.org/officeDocument/2006/relationships/image" Target="media/image264.jpeg"/><Relationship Id="rId263" Type="http://schemas.openxmlformats.org/officeDocument/2006/relationships/image" Target="media/image263.png"/><Relationship Id="rId262" Type="http://schemas.openxmlformats.org/officeDocument/2006/relationships/image" Target="media/image262.png"/><Relationship Id="rId261" Type="http://schemas.openxmlformats.org/officeDocument/2006/relationships/image" Target="media/image261.png"/><Relationship Id="rId260" Type="http://schemas.openxmlformats.org/officeDocument/2006/relationships/image" Target="media/image260.jpeg"/><Relationship Id="rId26" Type="http://schemas.openxmlformats.org/officeDocument/2006/relationships/image" Target="media/image26.png"/><Relationship Id="rId259" Type="http://schemas.openxmlformats.org/officeDocument/2006/relationships/image" Target="media/image259.jpeg"/><Relationship Id="rId258" Type="http://schemas.openxmlformats.org/officeDocument/2006/relationships/image" Target="media/image258.png"/><Relationship Id="rId257" Type="http://schemas.openxmlformats.org/officeDocument/2006/relationships/image" Target="media/image257.jpeg"/><Relationship Id="rId256" Type="http://schemas.openxmlformats.org/officeDocument/2006/relationships/image" Target="media/image256.jpeg"/><Relationship Id="rId255" Type="http://schemas.openxmlformats.org/officeDocument/2006/relationships/image" Target="media/image255.png"/><Relationship Id="rId254" Type="http://schemas.openxmlformats.org/officeDocument/2006/relationships/image" Target="media/image254.png"/><Relationship Id="rId253" Type="http://schemas.openxmlformats.org/officeDocument/2006/relationships/image" Target="media/image253.jpeg"/><Relationship Id="rId252" Type="http://schemas.openxmlformats.org/officeDocument/2006/relationships/image" Target="media/image252.png"/><Relationship Id="rId251" Type="http://schemas.openxmlformats.org/officeDocument/2006/relationships/image" Target="media/image251.png"/><Relationship Id="rId250" Type="http://schemas.openxmlformats.org/officeDocument/2006/relationships/image" Target="media/image250.jpeg"/><Relationship Id="rId25" Type="http://schemas.openxmlformats.org/officeDocument/2006/relationships/image" Target="media/image25.png"/><Relationship Id="rId249" Type="http://schemas.openxmlformats.org/officeDocument/2006/relationships/image" Target="media/image249.png"/><Relationship Id="rId248" Type="http://schemas.openxmlformats.org/officeDocument/2006/relationships/image" Target="media/image248.jpeg"/><Relationship Id="rId247" Type="http://schemas.openxmlformats.org/officeDocument/2006/relationships/image" Target="media/image247.png"/><Relationship Id="rId246" Type="http://schemas.openxmlformats.org/officeDocument/2006/relationships/image" Target="media/image246.jpeg"/><Relationship Id="rId245" Type="http://schemas.openxmlformats.org/officeDocument/2006/relationships/image" Target="media/image245.jpeg"/><Relationship Id="rId244" Type="http://schemas.openxmlformats.org/officeDocument/2006/relationships/image" Target="media/image244.png"/><Relationship Id="rId243" Type="http://schemas.openxmlformats.org/officeDocument/2006/relationships/image" Target="media/image243.png"/><Relationship Id="rId242" Type="http://schemas.openxmlformats.org/officeDocument/2006/relationships/image" Target="media/image242.png"/><Relationship Id="rId241" Type="http://schemas.openxmlformats.org/officeDocument/2006/relationships/image" Target="media/image241.png"/><Relationship Id="rId240" Type="http://schemas.openxmlformats.org/officeDocument/2006/relationships/image" Target="media/image240.jpeg"/><Relationship Id="rId24" Type="http://schemas.openxmlformats.org/officeDocument/2006/relationships/image" Target="media/image24.jpeg"/><Relationship Id="rId239" Type="http://schemas.openxmlformats.org/officeDocument/2006/relationships/image" Target="media/image239.jpeg"/><Relationship Id="rId238" Type="http://schemas.openxmlformats.org/officeDocument/2006/relationships/image" Target="media/image238.jpeg"/><Relationship Id="rId237" Type="http://schemas.openxmlformats.org/officeDocument/2006/relationships/image" Target="media/image237.png"/><Relationship Id="rId236" Type="http://schemas.openxmlformats.org/officeDocument/2006/relationships/image" Target="media/image236.png"/><Relationship Id="rId235" Type="http://schemas.openxmlformats.org/officeDocument/2006/relationships/image" Target="media/image235.png"/><Relationship Id="rId234" Type="http://schemas.openxmlformats.org/officeDocument/2006/relationships/image" Target="media/image234.png"/><Relationship Id="rId233" Type="http://schemas.openxmlformats.org/officeDocument/2006/relationships/image" Target="media/image233.png"/><Relationship Id="rId232" Type="http://schemas.openxmlformats.org/officeDocument/2006/relationships/image" Target="media/image232.jpeg"/><Relationship Id="rId231" Type="http://schemas.openxmlformats.org/officeDocument/2006/relationships/image" Target="media/image231.jpeg"/><Relationship Id="rId230" Type="http://schemas.openxmlformats.org/officeDocument/2006/relationships/image" Target="media/image230.jpeg"/><Relationship Id="rId23" Type="http://schemas.openxmlformats.org/officeDocument/2006/relationships/image" Target="media/image23.png"/><Relationship Id="rId229" Type="http://schemas.openxmlformats.org/officeDocument/2006/relationships/image" Target="media/image229.jpeg"/><Relationship Id="rId228" Type="http://schemas.openxmlformats.org/officeDocument/2006/relationships/image" Target="media/image228.jpeg"/><Relationship Id="rId227" Type="http://schemas.openxmlformats.org/officeDocument/2006/relationships/image" Target="media/image227.png"/><Relationship Id="rId226" Type="http://schemas.openxmlformats.org/officeDocument/2006/relationships/image" Target="media/image226.jpeg"/><Relationship Id="rId225" Type="http://schemas.openxmlformats.org/officeDocument/2006/relationships/image" Target="media/image225.png"/><Relationship Id="rId224" Type="http://schemas.openxmlformats.org/officeDocument/2006/relationships/image" Target="media/image224.jpeg"/><Relationship Id="rId223" Type="http://schemas.openxmlformats.org/officeDocument/2006/relationships/image" Target="media/image223.png"/><Relationship Id="rId222" Type="http://schemas.openxmlformats.org/officeDocument/2006/relationships/image" Target="media/image222.jpeg"/><Relationship Id="rId221" Type="http://schemas.openxmlformats.org/officeDocument/2006/relationships/image" Target="media/image221.png"/><Relationship Id="rId220" Type="http://schemas.openxmlformats.org/officeDocument/2006/relationships/image" Target="media/image220.png"/><Relationship Id="rId22" Type="http://schemas.openxmlformats.org/officeDocument/2006/relationships/image" Target="media/image22.jpeg"/><Relationship Id="rId219" Type="http://schemas.openxmlformats.org/officeDocument/2006/relationships/image" Target="media/image219.png"/><Relationship Id="rId218" Type="http://schemas.openxmlformats.org/officeDocument/2006/relationships/image" Target="media/image218.png"/><Relationship Id="rId217" Type="http://schemas.openxmlformats.org/officeDocument/2006/relationships/image" Target="media/image217.jpeg"/><Relationship Id="rId216" Type="http://schemas.openxmlformats.org/officeDocument/2006/relationships/image" Target="media/image216.png"/><Relationship Id="rId215" Type="http://schemas.openxmlformats.org/officeDocument/2006/relationships/image" Target="media/image215.jpeg"/><Relationship Id="rId214" Type="http://schemas.openxmlformats.org/officeDocument/2006/relationships/image" Target="media/image214.jpeg"/><Relationship Id="rId213" Type="http://schemas.openxmlformats.org/officeDocument/2006/relationships/image" Target="media/image213.jpeg"/><Relationship Id="rId212" Type="http://schemas.openxmlformats.org/officeDocument/2006/relationships/image" Target="media/image212.png"/><Relationship Id="rId211" Type="http://schemas.openxmlformats.org/officeDocument/2006/relationships/image" Target="media/image211.png"/><Relationship Id="rId210" Type="http://schemas.openxmlformats.org/officeDocument/2006/relationships/image" Target="media/image210.png"/><Relationship Id="rId21" Type="http://schemas.openxmlformats.org/officeDocument/2006/relationships/image" Target="media/image21.jpeg"/><Relationship Id="rId209" Type="http://schemas.openxmlformats.org/officeDocument/2006/relationships/image" Target="media/image209.png"/><Relationship Id="rId208" Type="http://schemas.openxmlformats.org/officeDocument/2006/relationships/image" Target="media/image208.png"/><Relationship Id="rId207" Type="http://schemas.openxmlformats.org/officeDocument/2006/relationships/image" Target="media/image207.png"/><Relationship Id="rId206" Type="http://schemas.openxmlformats.org/officeDocument/2006/relationships/image" Target="media/image206.png"/><Relationship Id="rId205" Type="http://schemas.openxmlformats.org/officeDocument/2006/relationships/image" Target="media/image205.jpeg"/><Relationship Id="rId204" Type="http://schemas.openxmlformats.org/officeDocument/2006/relationships/image" Target="media/image204.png"/><Relationship Id="rId203" Type="http://schemas.openxmlformats.org/officeDocument/2006/relationships/image" Target="media/image203.jpeg"/><Relationship Id="rId202" Type="http://schemas.openxmlformats.org/officeDocument/2006/relationships/image" Target="media/image202.png"/><Relationship Id="rId201" Type="http://schemas.openxmlformats.org/officeDocument/2006/relationships/image" Target="media/image201.jpeg"/><Relationship Id="rId200" Type="http://schemas.openxmlformats.org/officeDocument/2006/relationships/image" Target="media/image200.png"/><Relationship Id="rId20" Type="http://schemas.openxmlformats.org/officeDocument/2006/relationships/image" Target="media/image20.jpeg"/><Relationship Id="rId2" Type="http://schemas.openxmlformats.org/officeDocument/2006/relationships/image" Target="media/image2.png"/><Relationship Id="rId199" Type="http://schemas.openxmlformats.org/officeDocument/2006/relationships/image" Target="media/image199.png"/><Relationship Id="rId198" Type="http://schemas.openxmlformats.org/officeDocument/2006/relationships/image" Target="media/image198.png"/><Relationship Id="rId197" Type="http://schemas.openxmlformats.org/officeDocument/2006/relationships/image" Target="media/image197.png"/><Relationship Id="rId196" Type="http://schemas.openxmlformats.org/officeDocument/2006/relationships/image" Target="media/image196.png"/><Relationship Id="rId195" Type="http://schemas.openxmlformats.org/officeDocument/2006/relationships/image" Target="media/image195.jpeg"/><Relationship Id="rId194" Type="http://schemas.openxmlformats.org/officeDocument/2006/relationships/image" Target="media/image194.png"/><Relationship Id="rId193" Type="http://schemas.openxmlformats.org/officeDocument/2006/relationships/image" Target="media/image193.png"/><Relationship Id="rId192" Type="http://schemas.openxmlformats.org/officeDocument/2006/relationships/image" Target="media/image192.jpeg"/><Relationship Id="rId191" Type="http://schemas.openxmlformats.org/officeDocument/2006/relationships/image" Target="media/image191.png"/><Relationship Id="rId190" Type="http://schemas.openxmlformats.org/officeDocument/2006/relationships/image" Target="media/image190.png"/><Relationship Id="rId19" Type="http://schemas.openxmlformats.org/officeDocument/2006/relationships/image" Target="media/image19.png"/><Relationship Id="rId189" Type="http://schemas.openxmlformats.org/officeDocument/2006/relationships/image" Target="media/image189.jpeg"/><Relationship Id="rId188" Type="http://schemas.openxmlformats.org/officeDocument/2006/relationships/image" Target="media/image188.png"/><Relationship Id="rId187" Type="http://schemas.openxmlformats.org/officeDocument/2006/relationships/image" Target="media/image187.jpeg"/><Relationship Id="rId186" Type="http://schemas.openxmlformats.org/officeDocument/2006/relationships/image" Target="media/image186.jpeg"/><Relationship Id="rId185" Type="http://schemas.openxmlformats.org/officeDocument/2006/relationships/image" Target="media/image185.png"/><Relationship Id="rId184" Type="http://schemas.openxmlformats.org/officeDocument/2006/relationships/image" Target="media/image184.jpeg"/><Relationship Id="rId183" Type="http://schemas.openxmlformats.org/officeDocument/2006/relationships/image" Target="media/image183.jpeg"/><Relationship Id="rId182" Type="http://schemas.openxmlformats.org/officeDocument/2006/relationships/image" Target="media/image182.jpeg"/><Relationship Id="rId181" Type="http://schemas.openxmlformats.org/officeDocument/2006/relationships/image" Target="media/image181.png"/><Relationship Id="rId180" Type="http://schemas.openxmlformats.org/officeDocument/2006/relationships/image" Target="media/image180.png"/><Relationship Id="rId18" Type="http://schemas.openxmlformats.org/officeDocument/2006/relationships/image" Target="media/image18.png"/><Relationship Id="rId179" Type="http://schemas.openxmlformats.org/officeDocument/2006/relationships/image" Target="media/image179.jpeg"/><Relationship Id="rId178" Type="http://schemas.openxmlformats.org/officeDocument/2006/relationships/image" Target="media/image178.png"/><Relationship Id="rId177" Type="http://schemas.openxmlformats.org/officeDocument/2006/relationships/image" Target="media/image177.jpeg"/><Relationship Id="rId176" Type="http://schemas.openxmlformats.org/officeDocument/2006/relationships/image" Target="media/image176.jpeg"/><Relationship Id="rId175" Type="http://schemas.openxmlformats.org/officeDocument/2006/relationships/image" Target="media/image175.png"/><Relationship Id="rId174" Type="http://schemas.openxmlformats.org/officeDocument/2006/relationships/image" Target="media/image174.png"/><Relationship Id="rId173" Type="http://schemas.openxmlformats.org/officeDocument/2006/relationships/image" Target="media/image173.jpeg"/><Relationship Id="rId172" Type="http://schemas.openxmlformats.org/officeDocument/2006/relationships/image" Target="media/image172.png"/><Relationship Id="rId171" Type="http://schemas.openxmlformats.org/officeDocument/2006/relationships/image" Target="media/image171.png"/><Relationship Id="rId170" Type="http://schemas.openxmlformats.org/officeDocument/2006/relationships/image" Target="media/image170.png"/><Relationship Id="rId17" Type="http://schemas.openxmlformats.org/officeDocument/2006/relationships/image" Target="media/image17.png"/><Relationship Id="rId169" Type="http://schemas.openxmlformats.org/officeDocument/2006/relationships/image" Target="media/image169.png"/><Relationship Id="rId168" Type="http://schemas.openxmlformats.org/officeDocument/2006/relationships/image" Target="media/image168.jpeg"/><Relationship Id="rId167" Type="http://schemas.openxmlformats.org/officeDocument/2006/relationships/image" Target="media/image167.png"/><Relationship Id="rId166" Type="http://schemas.openxmlformats.org/officeDocument/2006/relationships/image" Target="media/image166.jpeg"/><Relationship Id="rId165" Type="http://schemas.openxmlformats.org/officeDocument/2006/relationships/image" Target="media/image165.jpeg"/><Relationship Id="rId164" Type="http://schemas.openxmlformats.org/officeDocument/2006/relationships/image" Target="media/image164.png"/><Relationship Id="rId163" Type="http://schemas.openxmlformats.org/officeDocument/2006/relationships/image" Target="media/image163.jpeg"/><Relationship Id="rId162" Type="http://schemas.openxmlformats.org/officeDocument/2006/relationships/image" Target="media/image162.png"/><Relationship Id="rId161" Type="http://schemas.openxmlformats.org/officeDocument/2006/relationships/image" Target="media/image161.png"/><Relationship Id="rId160" Type="http://schemas.openxmlformats.org/officeDocument/2006/relationships/image" Target="media/image160.jpeg"/><Relationship Id="rId16" Type="http://schemas.openxmlformats.org/officeDocument/2006/relationships/image" Target="media/image16.jpeg"/><Relationship Id="rId159" Type="http://schemas.openxmlformats.org/officeDocument/2006/relationships/image" Target="media/image159.jpeg"/><Relationship Id="rId158" Type="http://schemas.openxmlformats.org/officeDocument/2006/relationships/image" Target="media/image158.jpeg"/><Relationship Id="rId157" Type="http://schemas.openxmlformats.org/officeDocument/2006/relationships/image" Target="media/image157.jpeg"/><Relationship Id="rId156" Type="http://schemas.openxmlformats.org/officeDocument/2006/relationships/image" Target="media/image156.png"/><Relationship Id="rId155" Type="http://schemas.openxmlformats.org/officeDocument/2006/relationships/image" Target="media/image155.png"/><Relationship Id="rId154" Type="http://schemas.openxmlformats.org/officeDocument/2006/relationships/image" Target="media/image154.png"/><Relationship Id="rId153" Type="http://schemas.openxmlformats.org/officeDocument/2006/relationships/image" Target="media/image153.jpeg"/><Relationship Id="rId152" Type="http://schemas.openxmlformats.org/officeDocument/2006/relationships/image" Target="media/image152.png"/><Relationship Id="rId151" Type="http://schemas.openxmlformats.org/officeDocument/2006/relationships/image" Target="media/image151.png"/><Relationship Id="rId150" Type="http://schemas.openxmlformats.org/officeDocument/2006/relationships/image" Target="media/image150.png"/><Relationship Id="rId15" Type="http://schemas.openxmlformats.org/officeDocument/2006/relationships/image" Target="media/image15.png"/><Relationship Id="rId149" Type="http://schemas.openxmlformats.org/officeDocument/2006/relationships/image" Target="media/image149.jpeg"/><Relationship Id="rId148" Type="http://schemas.openxmlformats.org/officeDocument/2006/relationships/image" Target="media/image148.jpeg"/><Relationship Id="rId147" Type="http://schemas.openxmlformats.org/officeDocument/2006/relationships/image" Target="media/image147.jpeg"/><Relationship Id="rId146" Type="http://schemas.openxmlformats.org/officeDocument/2006/relationships/image" Target="media/image146.jpeg"/><Relationship Id="rId145" Type="http://schemas.openxmlformats.org/officeDocument/2006/relationships/image" Target="media/image145.jpeg"/><Relationship Id="rId144" Type="http://schemas.openxmlformats.org/officeDocument/2006/relationships/image" Target="media/image144.jpeg"/><Relationship Id="rId143" Type="http://schemas.openxmlformats.org/officeDocument/2006/relationships/image" Target="media/image143.jpeg"/><Relationship Id="rId142" Type="http://schemas.openxmlformats.org/officeDocument/2006/relationships/image" Target="media/image142.png"/><Relationship Id="rId141" Type="http://schemas.openxmlformats.org/officeDocument/2006/relationships/image" Target="media/image141.jpeg"/><Relationship Id="rId140" Type="http://schemas.openxmlformats.org/officeDocument/2006/relationships/image" Target="media/image140.png"/><Relationship Id="rId14" Type="http://schemas.openxmlformats.org/officeDocument/2006/relationships/image" Target="media/image14.png"/><Relationship Id="rId139" Type="http://schemas.openxmlformats.org/officeDocument/2006/relationships/image" Target="media/image139.jpeg"/><Relationship Id="rId138" Type="http://schemas.openxmlformats.org/officeDocument/2006/relationships/image" Target="media/image138.png"/><Relationship Id="rId137" Type="http://schemas.openxmlformats.org/officeDocument/2006/relationships/image" Target="media/image137.png"/><Relationship Id="rId136" Type="http://schemas.openxmlformats.org/officeDocument/2006/relationships/image" Target="media/image136.png"/><Relationship Id="rId135" Type="http://schemas.openxmlformats.org/officeDocument/2006/relationships/image" Target="media/image135.jpeg"/><Relationship Id="rId134" Type="http://schemas.openxmlformats.org/officeDocument/2006/relationships/image" Target="media/image134.jpeg"/><Relationship Id="rId133" Type="http://schemas.openxmlformats.org/officeDocument/2006/relationships/image" Target="media/image133.png"/><Relationship Id="rId132" Type="http://schemas.openxmlformats.org/officeDocument/2006/relationships/image" Target="media/image132.png"/><Relationship Id="rId131" Type="http://schemas.openxmlformats.org/officeDocument/2006/relationships/image" Target="media/image131.jpeg"/><Relationship Id="rId130" Type="http://schemas.openxmlformats.org/officeDocument/2006/relationships/image" Target="media/image130.jpeg"/><Relationship Id="rId13" Type="http://schemas.openxmlformats.org/officeDocument/2006/relationships/image" Target="media/image13.png"/><Relationship Id="rId129" Type="http://schemas.openxmlformats.org/officeDocument/2006/relationships/image" Target="media/image129.jpeg"/><Relationship Id="rId128" Type="http://schemas.openxmlformats.org/officeDocument/2006/relationships/image" Target="media/image128.png"/><Relationship Id="rId127" Type="http://schemas.openxmlformats.org/officeDocument/2006/relationships/image" Target="media/image127.png"/><Relationship Id="rId126" Type="http://schemas.openxmlformats.org/officeDocument/2006/relationships/image" Target="media/image126.jpeg"/><Relationship Id="rId125" Type="http://schemas.openxmlformats.org/officeDocument/2006/relationships/image" Target="media/image125.jpeg"/><Relationship Id="rId124" Type="http://schemas.openxmlformats.org/officeDocument/2006/relationships/image" Target="media/image124.png"/><Relationship Id="rId123" Type="http://schemas.openxmlformats.org/officeDocument/2006/relationships/image" Target="media/image123.png"/><Relationship Id="rId122" Type="http://schemas.openxmlformats.org/officeDocument/2006/relationships/image" Target="media/image122.jpeg"/><Relationship Id="rId121" Type="http://schemas.openxmlformats.org/officeDocument/2006/relationships/image" Target="media/image121.jpeg"/><Relationship Id="rId120" Type="http://schemas.openxmlformats.org/officeDocument/2006/relationships/image" Target="media/image120.jpeg"/><Relationship Id="rId12" Type="http://schemas.openxmlformats.org/officeDocument/2006/relationships/image" Target="media/image12.png"/><Relationship Id="rId119" Type="http://schemas.openxmlformats.org/officeDocument/2006/relationships/image" Target="media/image119.png"/><Relationship Id="rId118" Type="http://schemas.openxmlformats.org/officeDocument/2006/relationships/image" Target="media/image118.png"/><Relationship Id="rId117" Type="http://schemas.openxmlformats.org/officeDocument/2006/relationships/image" Target="media/image117.png"/><Relationship Id="rId116" Type="http://schemas.openxmlformats.org/officeDocument/2006/relationships/image" Target="media/image116.png"/><Relationship Id="rId115" Type="http://schemas.openxmlformats.org/officeDocument/2006/relationships/image" Target="media/image115.png"/><Relationship Id="rId114" Type="http://schemas.openxmlformats.org/officeDocument/2006/relationships/image" Target="media/image114.jpeg"/><Relationship Id="rId113" Type="http://schemas.openxmlformats.org/officeDocument/2006/relationships/image" Target="media/image113.jpeg"/><Relationship Id="rId112" Type="http://schemas.openxmlformats.org/officeDocument/2006/relationships/image" Target="media/image112.jpeg"/><Relationship Id="rId111" Type="http://schemas.openxmlformats.org/officeDocument/2006/relationships/image" Target="media/image111.jpeg"/><Relationship Id="rId110" Type="http://schemas.openxmlformats.org/officeDocument/2006/relationships/image" Target="media/image110.jpeg"/><Relationship Id="rId11" Type="http://schemas.openxmlformats.org/officeDocument/2006/relationships/image" Target="media/image11.jpeg"/><Relationship Id="rId109" Type="http://schemas.openxmlformats.org/officeDocument/2006/relationships/image" Target="media/image109.jpeg"/><Relationship Id="rId108" Type="http://schemas.openxmlformats.org/officeDocument/2006/relationships/image" Target="media/image108.png"/><Relationship Id="rId107" Type="http://schemas.openxmlformats.org/officeDocument/2006/relationships/image" Target="media/image107.jpeg"/><Relationship Id="rId106" Type="http://schemas.openxmlformats.org/officeDocument/2006/relationships/image" Target="media/image106.jpeg"/><Relationship Id="rId105" Type="http://schemas.openxmlformats.org/officeDocument/2006/relationships/image" Target="media/image105.jpeg"/><Relationship Id="rId104" Type="http://schemas.openxmlformats.org/officeDocument/2006/relationships/image" Target="media/image104.jpeg"/><Relationship Id="rId103" Type="http://schemas.openxmlformats.org/officeDocument/2006/relationships/image" Target="media/image103.jpeg"/><Relationship Id="rId102" Type="http://schemas.openxmlformats.org/officeDocument/2006/relationships/image" Target="media/image102.png"/><Relationship Id="rId101" Type="http://schemas.openxmlformats.org/officeDocument/2006/relationships/image" Target="media/image101.jpeg"/><Relationship Id="rId100" Type="http://schemas.openxmlformats.org/officeDocument/2006/relationships/image" Target="media/image100.png"/><Relationship Id="rId10" Type="http://schemas.openxmlformats.org/officeDocument/2006/relationships/image" Target="media/image10.pn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3"/>
  <sheetViews>
    <sheetView tabSelected="1" zoomScale="40" zoomScaleNormal="40" workbookViewId="0">
      <pane ySplit="1" topLeftCell="A2" activePane="bottomLeft" state="frozen"/>
      <selection/>
      <selection pane="bottomLeft" activeCell="L3" sqref="L3"/>
    </sheetView>
  </sheetViews>
  <sheetFormatPr defaultColWidth="9.81818181818182" defaultRowHeight="170" customHeight="1" outlineLevelCol="7"/>
  <cols>
    <col min="1" max="1" width="8.86363636363636" style="2" customWidth="1"/>
    <col min="2" max="2" width="13.9090909090909" style="2" customWidth="1"/>
    <col min="3" max="3" width="20.1818181818182" style="2" customWidth="1"/>
    <col min="4" max="4" width="35.0545454545455" style="4" customWidth="1"/>
    <col min="5" max="5" width="21.1636363636364" style="2" customWidth="1"/>
    <col min="6" max="6" width="30.4090909090909" style="4" customWidth="1"/>
    <col min="7" max="7" width="27.2727272727273" style="10" customWidth="1"/>
    <col min="8" max="8" width="30.5363636363636" style="2" customWidth="1"/>
    <col min="9" max="16384" width="9.81818181818182" style="2"/>
  </cols>
  <sheetData>
    <row r="1" s="1" customFormat="1" ht="62" customHeight="1" spans="1:8">
      <c r="A1" s="11" t="s">
        <v>0</v>
      </c>
      <c r="B1" s="11" t="s">
        <v>1</v>
      </c>
      <c r="C1" s="11" t="s">
        <v>2</v>
      </c>
      <c r="D1" s="11" t="s">
        <v>3</v>
      </c>
      <c r="E1" s="11" t="s">
        <v>4</v>
      </c>
      <c r="F1" s="11" t="s">
        <v>5</v>
      </c>
      <c r="G1" s="12" t="s">
        <v>6</v>
      </c>
      <c r="H1" s="11" t="s">
        <v>7</v>
      </c>
    </row>
    <row r="2" s="2" customFormat="1" customHeight="1" spans="1:8">
      <c r="A2" s="13">
        <v>1</v>
      </c>
      <c r="B2" s="14" t="s">
        <v>8</v>
      </c>
      <c r="C2" s="15" t="s">
        <v>9</v>
      </c>
      <c r="D2" s="16" t="s">
        <v>10</v>
      </c>
      <c r="E2" s="15" t="s">
        <v>11</v>
      </c>
      <c r="F2" s="16" t="s">
        <v>12</v>
      </c>
      <c r="G2" s="17">
        <v>85</v>
      </c>
      <c r="H2" s="15" t="str">
        <f>_xlfn.DISPIMG("ID_DC9A3B79710145598866019761CFB832",1)</f>
        <v>=DISPIMG("ID_DC9A3B79710145598866019761CFB832",1)</v>
      </c>
    </row>
    <row r="3" s="2" customFormat="1" customHeight="1" spans="1:8">
      <c r="A3" s="13">
        <v>2</v>
      </c>
      <c r="B3" s="15" t="s">
        <v>8</v>
      </c>
      <c r="C3" s="15" t="s">
        <v>9</v>
      </c>
      <c r="D3" s="18" t="s">
        <v>13</v>
      </c>
      <c r="E3" s="15" t="s">
        <v>14</v>
      </c>
      <c r="F3" s="16" t="s">
        <v>15</v>
      </c>
      <c r="G3" s="17">
        <v>265</v>
      </c>
      <c r="H3" s="15" t="str">
        <f>_xlfn.DISPIMG("ID_7BC58E73422244F6B5672C4EDACFCCC9",1)</f>
        <v>=DISPIMG("ID_7BC58E73422244F6B5672C4EDACFCCC9",1)</v>
      </c>
    </row>
    <row r="4" s="3" customFormat="1" customHeight="1" spans="1:8">
      <c r="A4" s="13">
        <v>3</v>
      </c>
      <c r="B4" s="15" t="s">
        <v>8</v>
      </c>
      <c r="C4" s="15" t="s">
        <v>9</v>
      </c>
      <c r="D4" s="16" t="s">
        <v>16</v>
      </c>
      <c r="E4" s="15" t="s">
        <v>17</v>
      </c>
      <c r="F4" s="16" t="s">
        <v>18</v>
      </c>
      <c r="G4" s="17">
        <v>130</v>
      </c>
      <c r="H4" s="15" t="str">
        <f>_xlfn.DISPIMG("ID_9F8DCB36DC9C45A9A48DCDE535D1EA4E",1)</f>
        <v>=DISPIMG("ID_9F8DCB36DC9C45A9A48DCDE535D1EA4E",1)</v>
      </c>
    </row>
    <row r="5" s="3" customFormat="1" customHeight="1" spans="1:8">
      <c r="A5" s="13">
        <v>4</v>
      </c>
      <c r="B5" s="15" t="s">
        <v>8</v>
      </c>
      <c r="C5" s="15" t="s">
        <v>9</v>
      </c>
      <c r="D5" s="16" t="s">
        <v>16</v>
      </c>
      <c r="E5" s="15" t="s">
        <v>17</v>
      </c>
      <c r="F5" s="16" t="s">
        <v>15</v>
      </c>
      <c r="G5" s="17">
        <v>260</v>
      </c>
      <c r="H5" s="15" t="str">
        <f>_xlfn.DISPIMG("ID_910C9E81047F4FD0932887D1F4D8A8E4",1)</f>
        <v>=DISPIMG("ID_910C9E81047F4FD0932887D1F4D8A8E4",1)</v>
      </c>
    </row>
    <row r="6" s="3" customFormat="1" customHeight="1" spans="1:8">
      <c r="A6" s="13">
        <v>5</v>
      </c>
      <c r="B6" s="15" t="s">
        <v>8</v>
      </c>
      <c r="C6" s="15" t="s">
        <v>9</v>
      </c>
      <c r="D6" s="19" t="s">
        <v>19</v>
      </c>
      <c r="E6" s="19" t="s">
        <v>11</v>
      </c>
      <c r="F6" s="19" t="s">
        <v>18</v>
      </c>
      <c r="G6" s="20">
        <v>132.5</v>
      </c>
      <c r="H6" s="21" t="str">
        <f>_xlfn.DISPIMG("ID_479C533FB1754A82B3E5F1CBCDA84C3C",1)</f>
        <v>=DISPIMG("ID_479C533FB1754A82B3E5F1CBCDA84C3C",1)</v>
      </c>
    </row>
    <row r="7" s="3" customFormat="1" customHeight="1" spans="1:8">
      <c r="A7" s="13">
        <v>6</v>
      </c>
      <c r="B7" s="15" t="s">
        <v>8</v>
      </c>
      <c r="C7" s="16" t="s">
        <v>20</v>
      </c>
      <c r="D7" s="16" t="s">
        <v>21</v>
      </c>
      <c r="E7" s="16" t="s">
        <v>11</v>
      </c>
      <c r="F7" s="16" t="s">
        <v>12</v>
      </c>
      <c r="G7" s="17">
        <v>62</v>
      </c>
      <c r="H7" s="15" t="str">
        <f>_xlfn.DISPIMG("ID_60022C807211462DACDFCC121390D1C9",1)</f>
        <v>=DISPIMG("ID_60022C807211462DACDFCC121390D1C9",1)</v>
      </c>
    </row>
    <row r="8" s="3" customFormat="1" customHeight="1" spans="1:8">
      <c r="A8" s="13">
        <v>7</v>
      </c>
      <c r="B8" s="15" t="s">
        <v>8</v>
      </c>
      <c r="C8" s="15" t="s">
        <v>20</v>
      </c>
      <c r="D8" s="16" t="s">
        <v>21</v>
      </c>
      <c r="E8" s="15" t="s">
        <v>11</v>
      </c>
      <c r="F8" s="16" t="s">
        <v>22</v>
      </c>
      <c r="G8" s="17">
        <v>248</v>
      </c>
      <c r="H8" s="15" t="str">
        <f>_xlfn.DISPIMG("ID_9190B95625D1418FA60EE4B1076BBD31",1)</f>
        <v>=DISPIMG("ID_9190B95625D1418FA60EE4B1076BBD31",1)</v>
      </c>
    </row>
    <row r="9" s="3" customFormat="1" customHeight="1" spans="1:8">
      <c r="A9" s="13">
        <v>8</v>
      </c>
      <c r="B9" s="14" t="s">
        <v>8</v>
      </c>
      <c r="C9" s="14" t="s">
        <v>20</v>
      </c>
      <c r="D9" s="16" t="s">
        <v>23</v>
      </c>
      <c r="E9" s="16" t="s">
        <v>14</v>
      </c>
      <c r="F9" s="16" t="s">
        <v>18</v>
      </c>
      <c r="G9" s="17">
        <v>130</v>
      </c>
      <c r="H9" s="15" t="str">
        <f>_xlfn.DISPIMG("ID_A94AD930F7434CC6A479C5700DF10863",1)</f>
        <v>=DISPIMG("ID_A94AD930F7434CC6A479C5700DF10863",1)</v>
      </c>
    </row>
    <row r="10" s="3" customFormat="1" customHeight="1" spans="1:8">
      <c r="A10" s="13">
        <v>9</v>
      </c>
      <c r="B10" s="14" t="s">
        <v>8</v>
      </c>
      <c r="C10" s="14" t="s">
        <v>20</v>
      </c>
      <c r="D10" s="16" t="s">
        <v>23</v>
      </c>
      <c r="E10" s="16" t="s">
        <v>14</v>
      </c>
      <c r="F10" s="16" t="s">
        <v>15</v>
      </c>
      <c r="G10" s="17">
        <v>255</v>
      </c>
      <c r="H10" s="15" t="str">
        <f>_xlfn.DISPIMG("ID_21662BB7B7C440DE89D3BB24393B9309",1)</f>
        <v>=DISPIMG("ID_21662BB7B7C440DE89D3BB24393B9309",1)</v>
      </c>
    </row>
    <row r="11" s="3" customFormat="1" customHeight="1" spans="1:8">
      <c r="A11" s="13">
        <v>10</v>
      </c>
      <c r="B11" s="15" t="s">
        <v>8</v>
      </c>
      <c r="C11" s="15" t="s">
        <v>20</v>
      </c>
      <c r="D11" s="16" t="s">
        <v>24</v>
      </c>
      <c r="E11" s="15" t="s">
        <v>17</v>
      </c>
      <c r="F11" s="16" t="s">
        <v>18</v>
      </c>
      <c r="G11" s="17">
        <v>130</v>
      </c>
      <c r="H11" s="15" t="str">
        <f>_xlfn.DISPIMG("ID_36DF6FB3C16E492B8D64A6F028E469DE",1)</f>
        <v>=DISPIMG("ID_36DF6FB3C16E492B8D64A6F028E469DE",1)</v>
      </c>
    </row>
    <row r="12" s="2" customFormat="1" customHeight="1" spans="1:8">
      <c r="A12" s="13">
        <v>11</v>
      </c>
      <c r="B12" s="15" t="s">
        <v>8</v>
      </c>
      <c r="C12" s="15" t="s">
        <v>20</v>
      </c>
      <c r="D12" s="16" t="s">
        <v>25</v>
      </c>
      <c r="E12" s="15" t="s">
        <v>17</v>
      </c>
      <c r="F12" s="16" t="s">
        <v>15</v>
      </c>
      <c r="G12" s="17">
        <v>260</v>
      </c>
      <c r="H12" s="15"/>
    </row>
    <row r="13" s="2" customFormat="1" customHeight="1" spans="1:8">
      <c r="A13" s="13">
        <v>12</v>
      </c>
      <c r="B13" s="15" t="s">
        <v>26</v>
      </c>
      <c r="C13" s="15" t="s">
        <v>27</v>
      </c>
      <c r="D13" s="15" t="s">
        <v>28</v>
      </c>
      <c r="E13" s="15" t="s">
        <v>29</v>
      </c>
      <c r="F13" s="16" t="s">
        <v>30</v>
      </c>
      <c r="G13" s="17">
        <v>115</v>
      </c>
      <c r="H13" s="15" t="str">
        <f>_xlfn.DISPIMG("ID_7F8AA3996719452185B084F77CB82DF6",1)</f>
        <v>=DISPIMG("ID_7F8AA3996719452185B084F77CB82DF6",1)</v>
      </c>
    </row>
    <row r="14" s="2" customFormat="1" customHeight="1" spans="1:8">
      <c r="A14" s="13">
        <v>13</v>
      </c>
      <c r="B14" s="15" t="s">
        <v>26</v>
      </c>
      <c r="C14" s="15" t="s">
        <v>27</v>
      </c>
      <c r="D14" s="15" t="s">
        <v>31</v>
      </c>
      <c r="E14" s="15" t="s">
        <v>29</v>
      </c>
      <c r="F14" s="16" t="s">
        <v>32</v>
      </c>
      <c r="G14" s="17">
        <v>97.24</v>
      </c>
      <c r="H14" s="15" t="str">
        <f>_xlfn.DISPIMG("ID_A831D496923245DC87BC029BFE286DF0",1)</f>
        <v>=DISPIMG("ID_A831D496923245DC87BC029BFE286DF0",1)</v>
      </c>
    </row>
    <row r="15" s="2" customFormat="1" customHeight="1" spans="1:8">
      <c r="A15" s="13">
        <v>14</v>
      </c>
      <c r="B15" s="15" t="s">
        <v>26</v>
      </c>
      <c r="C15" s="15" t="s">
        <v>27</v>
      </c>
      <c r="D15" s="15" t="s">
        <v>33</v>
      </c>
      <c r="E15" s="15" t="s">
        <v>34</v>
      </c>
      <c r="F15" s="16" t="s">
        <v>30</v>
      </c>
      <c r="G15" s="17">
        <v>115</v>
      </c>
      <c r="H15" s="15" t="str">
        <f>_xlfn.DISPIMG("ID_C7A324F8355744739803DE71BD9293B0",1)</f>
        <v>=DISPIMG("ID_C7A324F8355744739803DE71BD9293B0",1)</v>
      </c>
    </row>
    <row r="16" s="2" customFormat="1" customHeight="1" spans="1:8">
      <c r="A16" s="13">
        <v>15</v>
      </c>
      <c r="B16" s="15" t="s">
        <v>26</v>
      </c>
      <c r="C16" s="15" t="s">
        <v>27</v>
      </c>
      <c r="D16" s="16" t="s">
        <v>35</v>
      </c>
      <c r="E16" s="15" t="s">
        <v>34</v>
      </c>
      <c r="F16" s="16" t="s">
        <v>32</v>
      </c>
      <c r="G16" s="17">
        <v>114.4</v>
      </c>
      <c r="H16" s="15" t="str">
        <f>_xlfn.DISPIMG("ID_47FF8B4475BB4241956A545F571B5F8B",1)</f>
        <v>=DISPIMG("ID_47FF8B4475BB4241956A545F571B5F8B",1)</v>
      </c>
    </row>
    <row r="17" s="2" customFormat="1" customHeight="1" spans="1:8">
      <c r="A17" s="13">
        <v>16</v>
      </c>
      <c r="B17" s="15" t="s">
        <v>26</v>
      </c>
      <c r="C17" s="15" t="s">
        <v>27</v>
      </c>
      <c r="D17" s="16" t="s">
        <v>36</v>
      </c>
      <c r="E17" s="15" t="s">
        <v>37</v>
      </c>
      <c r="F17" s="16" t="s">
        <v>30</v>
      </c>
      <c r="G17" s="17">
        <v>117.5</v>
      </c>
      <c r="H17" s="15" t="str">
        <f>_xlfn.DISPIMG("ID_3CE6C87FB63246C5A8D675A2B798F1DE",1)</f>
        <v>=DISPIMG("ID_3CE6C87FB63246C5A8D675A2B798F1DE",1)</v>
      </c>
    </row>
    <row r="18" s="2" customFormat="1" customHeight="1" spans="1:8">
      <c r="A18" s="13">
        <v>17</v>
      </c>
      <c r="B18" s="15" t="s">
        <v>26</v>
      </c>
      <c r="C18" s="15" t="s">
        <v>27</v>
      </c>
      <c r="D18" s="15" t="s">
        <v>38</v>
      </c>
      <c r="E18" s="15" t="s">
        <v>37</v>
      </c>
      <c r="F18" s="16" t="s">
        <v>30</v>
      </c>
      <c r="G18" s="17">
        <v>135</v>
      </c>
      <c r="H18" s="15" t="str">
        <f>_xlfn.DISPIMG("ID_0ECAAAE967F54880A707C0D29BB36BB4",1)</f>
        <v>=DISPIMG("ID_0ECAAAE967F54880A707C0D29BB36BB4",1)</v>
      </c>
    </row>
    <row r="19" s="2" customFormat="1" customHeight="1" spans="1:8">
      <c r="A19" s="13">
        <v>18</v>
      </c>
      <c r="B19" s="19" t="s">
        <v>26</v>
      </c>
      <c r="C19" s="19" t="s">
        <v>39</v>
      </c>
      <c r="D19" s="19" t="s">
        <v>40</v>
      </c>
      <c r="E19" s="19" t="s">
        <v>37</v>
      </c>
      <c r="F19" s="19" t="s">
        <v>30</v>
      </c>
      <c r="G19" s="20">
        <v>135</v>
      </c>
      <c r="H19" s="21" t="str">
        <f>_xlfn.DISPIMG("ID_73D708F8098344989894D22F1B2853EF",1)</f>
        <v>=DISPIMG("ID_73D708F8098344989894D22F1B2853EF",1)</v>
      </c>
    </row>
    <row r="20" s="2" customFormat="1" customHeight="1" spans="1:8">
      <c r="A20" s="13">
        <v>19</v>
      </c>
      <c r="B20" s="19" t="s">
        <v>26</v>
      </c>
      <c r="C20" s="19" t="s">
        <v>39</v>
      </c>
      <c r="D20" s="19" t="s">
        <v>41</v>
      </c>
      <c r="E20" s="19" t="s">
        <v>37</v>
      </c>
      <c r="F20" s="19" t="s">
        <v>30</v>
      </c>
      <c r="G20" s="20">
        <v>125</v>
      </c>
      <c r="H20" s="21" t="str">
        <f>_xlfn.DISPIMG("ID_D3DF6BE9D4E94C8194EA43E19B0FFAFE",1)</f>
        <v>=DISPIMG("ID_D3DF6BE9D4E94C8194EA43E19B0FFAFE",1)</v>
      </c>
    </row>
    <row r="21" s="2" customFormat="1" customHeight="1" spans="1:8">
      <c r="A21" s="13">
        <v>20</v>
      </c>
      <c r="B21" s="15" t="s">
        <v>26</v>
      </c>
      <c r="C21" s="15" t="s">
        <v>27</v>
      </c>
      <c r="D21" s="16" t="s">
        <v>42</v>
      </c>
      <c r="E21" s="15" t="s">
        <v>43</v>
      </c>
      <c r="F21" s="16" t="s">
        <v>44</v>
      </c>
      <c r="G21" s="17">
        <v>135</v>
      </c>
      <c r="H21" s="15" t="str">
        <f>_xlfn.DISPIMG("ID_AF2AFB44F55C44349BEB77C95980E530",1)</f>
        <v>=DISPIMG("ID_AF2AFB44F55C44349BEB77C95980E530",1)</v>
      </c>
    </row>
    <row r="22" s="2" customFormat="1" customHeight="1" spans="1:8">
      <c r="A22" s="13">
        <v>21</v>
      </c>
      <c r="B22" s="22" t="s">
        <v>26</v>
      </c>
      <c r="C22" s="15" t="s">
        <v>27</v>
      </c>
      <c r="D22" s="23" t="s">
        <v>45</v>
      </c>
      <c r="E22" s="15" t="s">
        <v>43</v>
      </c>
      <c r="F22" s="24" t="s">
        <v>46</v>
      </c>
      <c r="G22" s="17">
        <v>125</v>
      </c>
      <c r="H22" s="15" t="str">
        <f>_xlfn.DISPIMG("ID_530FAD2588404CC7B273CEE21F831DB1",1)</f>
        <v>=DISPIMG("ID_530FAD2588404CC7B273CEE21F831DB1",1)</v>
      </c>
    </row>
    <row r="23" s="2" customFormat="1" customHeight="1" spans="1:8">
      <c r="A23" s="13">
        <v>22</v>
      </c>
      <c r="B23" s="15" t="s">
        <v>26</v>
      </c>
      <c r="C23" s="16" t="s">
        <v>47</v>
      </c>
      <c r="D23" s="15" t="s">
        <v>48</v>
      </c>
      <c r="E23" s="15" t="s">
        <v>17</v>
      </c>
      <c r="F23" s="16" t="s">
        <v>49</v>
      </c>
      <c r="G23" s="17">
        <v>116</v>
      </c>
      <c r="H23" s="15" t="str">
        <f>_xlfn.DISPIMG("ID_10793D2FC0684B328A8F1EF9D62F75FA",1)</f>
        <v>=DISPIMG("ID_10793D2FC0684B328A8F1EF9D62F75FA",1)</v>
      </c>
    </row>
    <row r="24" s="4" customFormat="1" customHeight="1" spans="1:8">
      <c r="A24" s="13">
        <v>23</v>
      </c>
      <c r="B24" s="15" t="s">
        <v>26</v>
      </c>
      <c r="C24" s="16" t="s">
        <v>47</v>
      </c>
      <c r="D24" s="16" t="s">
        <v>50</v>
      </c>
      <c r="E24" s="15" t="s">
        <v>17</v>
      </c>
      <c r="F24" s="16" t="s">
        <v>30</v>
      </c>
      <c r="G24" s="17">
        <v>108</v>
      </c>
      <c r="H24" s="15" t="str">
        <f>_xlfn.DISPIMG("ID_9E19668F1F8F419DBB72DD4CF57DAB86",1)</f>
        <v>=DISPIMG("ID_9E19668F1F8F419DBB72DD4CF57DAB86",1)</v>
      </c>
    </row>
    <row r="25" s="2" customFormat="1" customHeight="1" spans="1:8">
      <c r="A25" s="13">
        <v>24</v>
      </c>
      <c r="B25" s="15" t="s">
        <v>26</v>
      </c>
      <c r="C25" s="16" t="s">
        <v>47</v>
      </c>
      <c r="D25" s="16" t="s">
        <v>51</v>
      </c>
      <c r="E25" s="16" t="s">
        <v>52</v>
      </c>
      <c r="F25" s="16" t="s">
        <v>30</v>
      </c>
      <c r="G25" s="25">
        <v>98</v>
      </c>
      <c r="H25" s="16" t="str">
        <f>_xlfn.DISPIMG("ID_C1038D1250B543339F2DB4897D271616",1)</f>
        <v>=DISPIMG("ID_C1038D1250B543339F2DB4897D271616",1)</v>
      </c>
    </row>
    <row r="26" s="2" customFormat="1" customHeight="1" spans="1:8">
      <c r="A26" s="13">
        <v>25</v>
      </c>
      <c r="B26" s="15" t="s">
        <v>26</v>
      </c>
      <c r="C26" s="16" t="s">
        <v>47</v>
      </c>
      <c r="D26" s="15" t="s">
        <v>53</v>
      </c>
      <c r="E26" s="15" t="s">
        <v>52</v>
      </c>
      <c r="F26" s="16" t="s">
        <v>30</v>
      </c>
      <c r="G26" s="17">
        <v>120</v>
      </c>
      <c r="H26" s="15" t="str">
        <f>_xlfn.DISPIMG("ID_17864E0A83804D1B80BA087D9A65B250",1)</f>
        <v>=DISPIMG("ID_17864E0A83804D1B80BA087D9A65B250",1)</v>
      </c>
    </row>
    <row r="27" s="2" customFormat="1" customHeight="1" spans="1:8">
      <c r="A27" s="13">
        <v>26</v>
      </c>
      <c r="B27" s="15" t="s">
        <v>26</v>
      </c>
      <c r="C27" s="16" t="s">
        <v>47</v>
      </c>
      <c r="D27" s="16" t="s">
        <v>54</v>
      </c>
      <c r="E27" s="16" t="s">
        <v>55</v>
      </c>
      <c r="F27" s="16" t="s">
        <v>56</v>
      </c>
      <c r="G27" s="25">
        <v>120</v>
      </c>
      <c r="H27" s="16" t="str">
        <f>_xlfn.DISPIMG("ID_2279395962A246F7825F17CB773BAD06",1)</f>
        <v>=DISPIMG("ID_2279395962A246F7825F17CB773BAD06",1)</v>
      </c>
    </row>
    <row r="28" s="5" customFormat="1" customHeight="1" spans="1:8">
      <c r="A28" s="13">
        <v>27</v>
      </c>
      <c r="B28" s="26" t="s">
        <v>26</v>
      </c>
      <c r="C28" s="26" t="s">
        <v>47</v>
      </c>
      <c r="D28" s="27" t="s">
        <v>57</v>
      </c>
      <c r="E28" s="26" t="s">
        <v>14</v>
      </c>
      <c r="F28" s="27" t="s">
        <v>58</v>
      </c>
      <c r="G28" s="28">
        <v>18</v>
      </c>
      <c r="H28" s="26" t="str">
        <f>_xlfn.DISPIMG("ID_73D1631A317841389249B71087A2FDA7",1)</f>
        <v>=DISPIMG("ID_73D1631A317841389249B71087A2FDA7",1)</v>
      </c>
    </row>
    <row r="29" s="2" customFormat="1" customHeight="1" spans="1:8">
      <c r="A29" s="13">
        <v>28</v>
      </c>
      <c r="B29" s="15" t="s">
        <v>26</v>
      </c>
      <c r="C29" s="15" t="s">
        <v>59</v>
      </c>
      <c r="D29" s="16" t="s">
        <v>60</v>
      </c>
      <c r="E29" s="15" t="s">
        <v>17</v>
      </c>
      <c r="F29" s="16" t="s">
        <v>30</v>
      </c>
      <c r="G29" s="17">
        <v>163</v>
      </c>
      <c r="H29" s="15" t="str">
        <f>_xlfn.DISPIMG("ID_5F76E615FFF44B878B43EAD2996DA48F",1)</f>
        <v>=DISPIMG("ID_5F76E615FFF44B878B43EAD2996DA48F",1)</v>
      </c>
    </row>
    <row r="30" s="2" customFormat="1" customHeight="1" spans="1:8">
      <c r="A30" s="13">
        <v>29</v>
      </c>
      <c r="B30" s="15" t="s">
        <v>61</v>
      </c>
      <c r="C30" s="15" t="s">
        <v>62</v>
      </c>
      <c r="D30" s="16" t="s">
        <v>63</v>
      </c>
      <c r="E30" s="15"/>
      <c r="F30" s="16" t="s">
        <v>64</v>
      </c>
      <c r="G30" s="17">
        <v>8.99</v>
      </c>
      <c r="H30" s="15" t="str">
        <f>_xlfn.DISPIMG("ID_E0B7C5501F20468681559BCAF74ACB44",1)</f>
        <v>=DISPIMG("ID_E0B7C5501F20468681559BCAF74ACB44",1)</v>
      </c>
    </row>
    <row r="31" s="2" customFormat="1" customHeight="1" spans="1:8">
      <c r="A31" s="13">
        <v>30</v>
      </c>
      <c r="B31" s="15" t="s">
        <v>61</v>
      </c>
      <c r="C31" s="15" t="s">
        <v>62</v>
      </c>
      <c r="D31" s="16" t="s">
        <v>65</v>
      </c>
      <c r="E31" s="15"/>
      <c r="F31" s="16" t="s">
        <v>66</v>
      </c>
      <c r="G31" s="17">
        <v>12</v>
      </c>
      <c r="H31" s="15" t="str">
        <f>_xlfn.DISPIMG("ID_6541641DE468457897F81568DFE719CE",1)</f>
        <v>=DISPIMG("ID_6541641DE468457897F81568DFE719CE",1)</v>
      </c>
    </row>
    <row r="32" s="2" customFormat="1" customHeight="1" spans="1:8">
      <c r="A32" s="13">
        <v>31</v>
      </c>
      <c r="B32" s="15" t="s">
        <v>61</v>
      </c>
      <c r="C32" s="15" t="s">
        <v>62</v>
      </c>
      <c r="D32" s="16" t="s">
        <v>67</v>
      </c>
      <c r="E32" s="15"/>
      <c r="F32" s="16" t="s">
        <v>68</v>
      </c>
      <c r="G32" s="17">
        <v>9.5</v>
      </c>
      <c r="H32" s="15" t="str">
        <f>_xlfn.DISPIMG("ID_9A34C04F178740A19DD3B65C68DAD7CF",1)</f>
        <v>=DISPIMG("ID_9A34C04F178740A19DD3B65C68DAD7CF",1)</v>
      </c>
    </row>
    <row r="33" s="2" customFormat="1" customHeight="1" spans="1:8">
      <c r="A33" s="13">
        <v>32</v>
      </c>
      <c r="B33" s="15" t="s">
        <v>61</v>
      </c>
      <c r="C33" s="15" t="s">
        <v>62</v>
      </c>
      <c r="D33" s="16" t="s">
        <v>69</v>
      </c>
      <c r="E33" s="15"/>
      <c r="F33" s="16" t="s">
        <v>70</v>
      </c>
      <c r="G33" s="17">
        <v>21.9333333333333</v>
      </c>
      <c r="H33" s="15" t="str">
        <f>_xlfn.DISPIMG("ID_DD7E1E3FEEF94A5695FB6B97FA3DD4A7",1)</f>
        <v>=DISPIMG("ID_DD7E1E3FEEF94A5695FB6B97FA3DD4A7",1)</v>
      </c>
    </row>
    <row r="34" s="2" customFormat="1" customHeight="1" spans="1:8">
      <c r="A34" s="13">
        <v>33</v>
      </c>
      <c r="B34" s="15" t="s">
        <v>61</v>
      </c>
      <c r="C34" s="15" t="s">
        <v>62</v>
      </c>
      <c r="D34" s="16" t="s">
        <v>71</v>
      </c>
      <c r="E34" s="15"/>
      <c r="F34" s="16" t="s">
        <v>72</v>
      </c>
      <c r="G34" s="17">
        <v>15.5</v>
      </c>
      <c r="H34" s="15" t="str">
        <f>_xlfn.DISPIMG("ID_4621C66FEFC84544B327D7C1499022E2",1)</f>
        <v>=DISPIMG("ID_4621C66FEFC84544B327D7C1499022E2",1)</v>
      </c>
    </row>
    <row r="35" s="2" customFormat="1" customHeight="1" spans="1:8">
      <c r="A35" s="13">
        <v>34</v>
      </c>
      <c r="B35" s="15" t="s">
        <v>61</v>
      </c>
      <c r="C35" s="15" t="s">
        <v>62</v>
      </c>
      <c r="D35" s="15" t="s">
        <v>73</v>
      </c>
      <c r="E35" s="15"/>
      <c r="F35" s="16" t="s">
        <v>74</v>
      </c>
      <c r="G35" s="17">
        <v>19.3233333333333</v>
      </c>
      <c r="H35" s="15" t="str">
        <f>_xlfn.DISPIMG("ID_E594D3A8D73548D2A3F0E76C76828DB1",1)</f>
        <v>=DISPIMG("ID_E594D3A8D73548D2A3F0E76C76828DB1",1)</v>
      </c>
    </row>
    <row r="36" s="2" customFormat="1" customHeight="1" spans="1:8">
      <c r="A36" s="13">
        <v>35</v>
      </c>
      <c r="B36" s="15" t="s">
        <v>61</v>
      </c>
      <c r="C36" s="15" t="s">
        <v>62</v>
      </c>
      <c r="D36" s="16" t="s">
        <v>75</v>
      </c>
      <c r="E36" s="15"/>
      <c r="F36" s="16" t="s">
        <v>76</v>
      </c>
      <c r="G36" s="17">
        <v>15</v>
      </c>
      <c r="H36" s="15" t="str">
        <f>_xlfn.DISPIMG("ID_B568712FCD3C43D5B4DE6813C84D74F8",1)</f>
        <v>=DISPIMG("ID_B568712FCD3C43D5B4DE6813C84D74F8",1)</v>
      </c>
    </row>
    <row r="37" s="2" customFormat="1" customHeight="1" spans="1:8">
      <c r="A37" s="13">
        <v>36</v>
      </c>
      <c r="B37" s="15" t="s">
        <v>61</v>
      </c>
      <c r="C37" s="15" t="s">
        <v>62</v>
      </c>
      <c r="D37" s="16" t="s">
        <v>77</v>
      </c>
      <c r="E37" s="15"/>
      <c r="F37" s="16" t="s">
        <v>78</v>
      </c>
      <c r="G37" s="17">
        <v>11</v>
      </c>
      <c r="H37" s="15" t="str">
        <f>_xlfn.DISPIMG("ID_83579965078949CC8EE4C3C38A5AEF22",1)</f>
        <v>=DISPIMG("ID_83579965078949CC8EE4C3C38A5AEF22",1)</v>
      </c>
    </row>
    <row r="38" s="2" customFormat="1" customHeight="1" spans="1:8">
      <c r="A38" s="13">
        <v>37</v>
      </c>
      <c r="B38" s="15" t="s">
        <v>61</v>
      </c>
      <c r="C38" s="15" t="s">
        <v>79</v>
      </c>
      <c r="D38" s="16" t="s">
        <v>80</v>
      </c>
      <c r="E38" s="15"/>
      <c r="F38" s="16" t="s">
        <v>81</v>
      </c>
      <c r="G38" s="17">
        <v>14</v>
      </c>
      <c r="H38" s="15" t="str">
        <f>_xlfn.DISPIMG("ID_793FFCF79A7C43B580F2B16D40DD70FF",1)</f>
        <v>=DISPIMG("ID_793FFCF79A7C43B580F2B16D40DD70FF",1)</v>
      </c>
    </row>
    <row r="39" s="2" customFormat="1" customHeight="1" spans="1:8">
      <c r="A39" s="13">
        <v>38</v>
      </c>
      <c r="B39" s="15" t="s">
        <v>61</v>
      </c>
      <c r="C39" s="15" t="s">
        <v>79</v>
      </c>
      <c r="D39" s="16" t="s">
        <v>82</v>
      </c>
      <c r="E39" s="15"/>
      <c r="F39" s="16" t="s">
        <v>83</v>
      </c>
      <c r="G39" s="17">
        <v>9.5</v>
      </c>
      <c r="H39" s="15" t="str">
        <f>_xlfn.DISPIMG("ID_F4EB2D412D964F18B1CE81244BF1B8BE",1)</f>
        <v>=DISPIMG("ID_F4EB2D412D964F18B1CE81244BF1B8BE",1)</v>
      </c>
    </row>
    <row r="40" s="2" customFormat="1" customHeight="1" spans="1:8">
      <c r="A40" s="13">
        <v>39</v>
      </c>
      <c r="B40" s="15" t="s">
        <v>61</v>
      </c>
      <c r="C40" s="15" t="s">
        <v>79</v>
      </c>
      <c r="D40" s="16" t="s">
        <v>84</v>
      </c>
      <c r="E40" s="15"/>
      <c r="F40" s="16" t="s">
        <v>85</v>
      </c>
      <c r="G40" s="17">
        <v>12</v>
      </c>
      <c r="H40" s="15" t="str">
        <f>_xlfn.DISPIMG("ID_54E6C205CB09436F9A0646C091F25F46",1)</f>
        <v>=DISPIMG("ID_54E6C205CB09436F9A0646C091F25F46",1)</v>
      </c>
    </row>
    <row r="41" s="2" customFormat="1" customHeight="1" spans="1:8">
      <c r="A41" s="13">
        <v>40</v>
      </c>
      <c r="B41" s="15" t="s">
        <v>61</v>
      </c>
      <c r="C41" s="15" t="s">
        <v>79</v>
      </c>
      <c r="D41" s="16" t="s">
        <v>86</v>
      </c>
      <c r="E41" s="15"/>
      <c r="F41" s="16" t="s">
        <v>87</v>
      </c>
      <c r="G41" s="17">
        <v>5</v>
      </c>
      <c r="H41" s="15" t="str">
        <f>_xlfn.DISPIMG("ID_78BBF225B13A4DC0880ECE74B459074C",1)</f>
        <v>=DISPIMG("ID_78BBF225B13A4DC0880ECE74B459074C",1)</v>
      </c>
    </row>
    <row r="42" s="2" customFormat="1" customHeight="1" spans="1:8">
      <c r="A42" s="13">
        <v>41</v>
      </c>
      <c r="B42" s="15" t="s">
        <v>61</v>
      </c>
      <c r="C42" s="15" t="s">
        <v>79</v>
      </c>
      <c r="D42" s="16" t="s">
        <v>88</v>
      </c>
      <c r="E42" s="15"/>
      <c r="F42" s="16" t="s">
        <v>89</v>
      </c>
      <c r="G42" s="17">
        <v>26.495</v>
      </c>
      <c r="H42" s="15" t="str">
        <f>_xlfn.DISPIMG("ID_A9087F4D069345EB8215C0773DFE9E58",1)</f>
        <v>=DISPIMG("ID_A9087F4D069345EB8215C0773DFE9E58",1)</v>
      </c>
    </row>
    <row r="43" s="3" customFormat="1" customHeight="1" spans="1:8">
      <c r="A43" s="13">
        <v>42</v>
      </c>
      <c r="B43" s="15" t="s">
        <v>61</v>
      </c>
      <c r="C43" s="15" t="s">
        <v>79</v>
      </c>
      <c r="D43" s="16" t="s">
        <v>90</v>
      </c>
      <c r="E43" s="16"/>
      <c r="F43" s="16" t="s">
        <v>85</v>
      </c>
      <c r="G43" s="17">
        <v>6</v>
      </c>
      <c r="H43" s="15" t="str">
        <f>_xlfn.DISPIMG("ID_2CA5E1501850439AB7C7B21D14C53E45",1)</f>
        <v>=DISPIMG("ID_2CA5E1501850439AB7C7B21D14C53E45",1)</v>
      </c>
    </row>
    <row r="44" s="2" customFormat="1" customHeight="1" spans="1:8">
      <c r="A44" s="13">
        <v>43</v>
      </c>
      <c r="B44" s="15" t="s">
        <v>61</v>
      </c>
      <c r="C44" s="15" t="s">
        <v>79</v>
      </c>
      <c r="D44" s="16" t="s">
        <v>91</v>
      </c>
      <c r="E44" s="15"/>
      <c r="F44" s="16" t="s">
        <v>92</v>
      </c>
      <c r="G44" s="17">
        <v>9</v>
      </c>
      <c r="H44" s="15" t="str">
        <f>_xlfn.DISPIMG("ID_F734C0BAC37240D9952C0250353C743D",1)</f>
        <v>=DISPIMG("ID_F734C0BAC37240D9952C0250353C743D",1)</v>
      </c>
    </row>
    <row r="45" s="2" customFormat="1" customHeight="1" spans="1:8">
      <c r="A45" s="13">
        <v>44</v>
      </c>
      <c r="B45" s="15" t="s">
        <v>61</v>
      </c>
      <c r="C45" s="15" t="s">
        <v>79</v>
      </c>
      <c r="D45" s="16" t="s">
        <v>93</v>
      </c>
      <c r="E45" s="15"/>
      <c r="F45" s="16" t="s">
        <v>94</v>
      </c>
      <c r="G45" s="17">
        <v>8.995</v>
      </c>
      <c r="H45" s="15" t="str">
        <f>_xlfn.DISPIMG("ID_F25F3D6F3B284007A232646D00CF3B26",1)</f>
        <v>=DISPIMG("ID_F25F3D6F3B284007A232646D00CF3B26",1)</v>
      </c>
    </row>
    <row r="46" s="2" customFormat="1" customHeight="1" spans="1:8">
      <c r="A46" s="13">
        <v>45</v>
      </c>
      <c r="B46" s="15" t="s">
        <v>61</v>
      </c>
      <c r="C46" s="15" t="s">
        <v>79</v>
      </c>
      <c r="D46" s="16" t="s">
        <v>95</v>
      </c>
      <c r="E46" s="15"/>
      <c r="F46" s="16" t="s">
        <v>96</v>
      </c>
      <c r="G46" s="17">
        <v>2</v>
      </c>
      <c r="H46" s="15" t="str">
        <f>_xlfn.DISPIMG("ID_F87E2260631947B285F6F975C445738E",1)</f>
        <v>=DISPIMG("ID_F87E2260631947B285F6F975C445738E",1)</v>
      </c>
    </row>
    <row r="47" s="2" customFormat="1" customHeight="1" spans="1:8">
      <c r="A47" s="13">
        <v>46</v>
      </c>
      <c r="B47" s="15" t="s">
        <v>61</v>
      </c>
      <c r="C47" s="15" t="s">
        <v>97</v>
      </c>
      <c r="D47" s="16" t="s">
        <v>98</v>
      </c>
      <c r="E47" s="15"/>
      <c r="F47" s="16" t="s">
        <v>99</v>
      </c>
      <c r="G47" s="17">
        <v>9</v>
      </c>
      <c r="H47" s="15" t="str">
        <f>_xlfn.DISPIMG("ID_C3EB978CBF6A441790CAC7B4C22704FF",1)</f>
        <v>=DISPIMG("ID_C3EB978CBF6A441790CAC7B4C22704FF",1)</v>
      </c>
    </row>
    <row r="48" s="2" customFormat="1" customHeight="1" spans="1:8">
      <c r="A48" s="13">
        <v>47</v>
      </c>
      <c r="B48" s="15" t="s">
        <v>61</v>
      </c>
      <c r="C48" s="15" t="s">
        <v>97</v>
      </c>
      <c r="D48" s="15" t="s">
        <v>100</v>
      </c>
      <c r="E48" s="15"/>
      <c r="F48" s="16" t="s">
        <v>101</v>
      </c>
      <c r="G48" s="17">
        <v>11</v>
      </c>
      <c r="H48" s="15" t="str">
        <f>_xlfn.DISPIMG("ID_EA03C15823B948F194CF77AB6A0B5FCE",1)</f>
        <v>=DISPIMG("ID_EA03C15823B948F194CF77AB6A0B5FCE",1)</v>
      </c>
    </row>
    <row r="49" s="2" customFormat="1" customHeight="1" spans="1:8">
      <c r="A49" s="13">
        <v>48</v>
      </c>
      <c r="B49" s="15" t="s">
        <v>61</v>
      </c>
      <c r="C49" s="15" t="s">
        <v>97</v>
      </c>
      <c r="D49" s="16" t="s">
        <v>102</v>
      </c>
      <c r="E49" s="15"/>
      <c r="F49" s="16" t="s">
        <v>103</v>
      </c>
      <c r="G49" s="17">
        <v>11</v>
      </c>
      <c r="H49" s="15" t="str">
        <f>_xlfn.DISPIMG("ID_D13EAA8A6E65467FB96BBD78F21EEDFC",1)</f>
        <v>=DISPIMG("ID_D13EAA8A6E65467FB96BBD78F21EEDFC",1)</v>
      </c>
    </row>
    <row r="50" s="2" customFormat="1" customHeight="1" spans="1:8">
      <c r="A50" s="13">
        <v>49</v>
      </c>
      <c r="B50" s="15" t="s">
        <v>61</v>
      </c>
      <c r="C50" s="15" t="s">
        <v>97</v>
      </c>
      <c r="D50" s="16" t="s">
        <v>104</v>
      </c>
      <c r="E50" s="15"/>
      <c r="F50" s="16" t="s">
        <v>105</v>
      </c>
      <c r="G50" s="17">
        <v>11</v>
      </c>
      <c r="H50" s="15" t="str">
        <f>_xlfn.DISPIMG("ID_F6A6C18B8AD54BF8A02B4979142BAF27",1)</f>
        <v>=DISPIMG("ID_F6A6C18B8AD54BF8A02B4979142BAF27",1)</v>
      </c>
    </row>
    <row r="51" s="2" customFormat="1" customHeight="1" spans="1:8">
      <c r="A51" s="13">
        <v>50</v>
      </c>
      <c r="B51" s="15" t="s">
        <v>61</v>
      </c>
      <c r="C51" s="15" t="s">
        <v>61</v>
      </c>
      <c r="D51" s="15" t="s">
        <v>106</v>
      </c>
      <c r="E51" s="15"/>
      <c r="F51" s="16" t="s">
        <v>107</v>
      </c>
      <c r="G51" s="17">
        <v>13.5</v>
      </c>
      <c r="H51" s="15" t="str">
        <f>_xlfn.DISPIMG("ID_F362F109F4B44ACC99962383B1691A9A",1)</f>
        <v>=DISPIMG("ID_F362F109F4B44ACC99962383B1691A9A",1)</v>
      </c>
    </row>
    <row r="52" s="2" customFormat="1" customHeight="1" spans="1:8">
      <c r="A52" s="13">
        <v>51</v>
      </c>
      <c r="B52" s="15" t="s">
        <v>61</v>
      </c>
      <c r="C52" s="15" t="s">
        <v>61</v>
      </c>
      <c r="D52" s="16" t="s">
        <v>108</v>
      </c>
      <c r="E52" s="15"/>
      <c r="F52" s="16" t="s">
        <v>109</v>
      </c>
      <c r="G52" s="17">
        <v>16</v>
      </c>
      <c r="H52" s="15" t="str">
        <f>_xlfn.DISPIMG("ID_0E67AD0CA9D3409EB53DB3E44EA7BDAC",1)</f>
        <v>=DISPIMG("ID_0E67AD0CA9D3409EB53DB3E44EA7BDAC",1)</v>
      </c>
    </row>
    <row r="53" s="2" customFormat="1" customHeight="1" spans="1:8">
      <c r="A53" s="13">
        <v>52</v>
      </c>
      <c r="B53" s="15" t="s">
        <v>61</v>
      </c>
      <c r="C53" s="15" t="s">
        <v>61</v>
      </c>
      <c r="D53" s="16" t="s">
        <v>110</v>
      </c>
      <c r="E53" s="15"/>
      <c r="F53" s="16" t="s">
        <v>111</v>
      </c>
      <c r="G53" s="17">
        <v>11</v>
      </c>
      <c r="H53" s="15" t="str">
        <f>_xlfn.DISPIMG("ID_44D1FAC894FD41E3B150A2075FBCD118",1)</f>
        <v>=DISPIMG("ID_44D1FAC894FD41E3B150A2075FBCD118",1)</v>
      </c>
    </row>
    <row r="54" s="2" customFormat="1" customHeight="1" spans="1:8">
      <c r="A54" s="13">
        <v>53</v>
      </c>
      <c r="B54" s="15" t="s">
        <v>61</v>
      </c>
      <c r="C54" s="15" t="s">
        <v>61</v>
      </c>
      <c r="D54" s="16" t="s">
        <v>112</v>
      </c>
      <c r="E54" s="15"/>
      <c r="F54" s="16" t="s">
        <v>113</v>
      </c>
      <c r="G54" s="17">
        <v>12.5</v>
      </c>
      <c r="H54" s="15" t="str">
        <f>_xlfn.DISPIMG("ID_38A0616FEF90460DA3CA9B1252667955",1)</f>
        <v>=DISPIMG("ID_38A0616FEF90460DA3CA9B1252667955",1)</v>
      </c>
    </row>
    <row r="55" s="2" customFormat="1" customHeight="1" spans="1:8">
      <c r="A55" s="13">
        <v>54</v>
      </c>
      <c r="B55" s="15" t="s">
        <v>61</v>
      </c>
      <c r="C55" s="15" t="s">
        <v>61</v>
      </c>
      <c r="D55" s="16" t="s">
        <v>114</v>
      </c>
      <c r="E55" s="15"/>
      <c r="F55" s="16" t="s">
        <v>115</v>
      </c>
      <c r="G55" s="17">
        <v>11.9</v>
      </c>
      <c r="H55" s="15" t="str">
        <f>_xlfn.DISPIMG("ID_9150538F4E46491DA4A2844B99A12806",1)</f>
        <v>=DISPIMG("ID_9150538F4E46491DA4A2844B99A12806",1)</v>
      </c>
    </row>
    <row r="56" s="5" customFormat="1" customHeight="1" spans="1:8">
      <c r="A56" s="13">
        <v>55</v>
      </c>
      <c r="B56" s="26" t="s">
        <v>61</v>
      </c>
      <c r="C56" s="26" t="s">
        <v>79</v>
      </c>
      <c r="D56" s="27" t="s">
        <v>116</v>
      </c>
      <c r="E56" s="26"/>
      <c r="F56" s="27" t="s">
        <v>85</v>
      </c>
      <c r="G56" s="28">
        <v>13.99</v>
      </c>
      <c r="H56" s="26"/>
    </row>
    <row r="57" s="5" customFormat="1" customHeight="1" spans="1:8">
      <c r="A57" s="13">
        <v>56</v>
      </c>
      <c r="B57" s="26" t="s">
        <v>61</v>
      </c>
      <c r="C57" s="26" t="s">
        <v>117</v>
      </c>
      <c r="D57" s="27" t="s">
        <v>118</v>
      </c>
      <c r="E57" s="26"/>
      <c r="F57" s="27" t="s">
        <v>85</v>
      </c>
      <c r="G57" s="28">
        <v>10</v>
      </c>
      <c r="H57" s="26"/>
    </row>
    <row r="58" s="5" customFormat="1" customHeight="1" spans="1:8">
      <c r="A58" s="13">
        <v>57</v>
      </c>
      <c r="B58" s="26" t="s">
        <v>61</v>
      </c>
      <c r="C58" s="26" t="s">
        <v>117</v>
      </c>
      <c r="D58" s="27" t="s">
        <v>119</v>
      </c>
      <c r="E58" s="26"/>
      <c r="F58" s="27" t="s">
        <v>85</v>
      </c>
      <c r="G58" s="28">
        <v>8.5</v>
      </c>
      <c r="H58" s="26"/>
    </row>
    <row r="59" s="5" customFormat="1" customHeight="1" spans="1:8">
      <c r="A59" s="13">
        <v>58</v>
      </c>
      <c r="B59" s="26" t="s">
        <v>61</v>
      </c>
      <c r="C59" s="26" t="s">
        <v>97</v>
      </c>
      <c r="D59" s="27" t="s">
        <v>120</v>
      </c>
      <c r="E59" s="26"/>
      <c r="F59" s="27" t="s">
        <v>85</v>
      </c>
      <c r="G59" s="28">
        <v>6</v>
      </c>
      <c r="H59" s="26"/>
    </row>
    <row r="60" s="5" customFormat="1" customHeight="1" spans="1:8">
      <c r="A60" s="13">
        <v>59</v>
      </c>
      <c r="B60" s="26" t="s">
        <v>61</v>
      </c>
      <c r="C60" s="26" t="s">
        <v>97</v>
      </c>
      <c r="D60" s="27" t="s">
        <v>121</v>
      </c>
      <c r="E60" s="26"/>
      <c r="F60" s="27" t="s">
        <v>85</v>
      </c>
      <c r="G60" s="28">
        <v>9</v>
      </c>
      <c r="H60" s="26"/>
    </row>
    <row r="61" s="5" customFormat="1" customHeight="1" spans="1:8">
      <c r="A61" s="13">
        <v>60</v>
      </c>
      <c r="B61" s="26" t="s">
        <v>61</v>
      </c>
      <c r="C61" s="26" t="s">
        <v>97</v>
      </c>
      <c r="D61" s="27" t="s">
        <v>122</v>
      </c>
      <c r="E61" s="26"/>
      <c r="F61" s="27" t="s">
        <v>85</v>
      </c>
      <c r="G61" s="28">
        <v>12</v>
      </c>
      <c r="H61" s="26"/>
    </row>
    <row r="62" s="5" customFormat="1" customHeight="1" spans="1:8">
      <c r="A62" s="13">
        <v>61</v>
      </c>
      <c r="B62" s="26" t="s">
        <v>61</v>
      </c>
      <c r="C62" s="26" t="s">
        <v>97</v>
      </c>
      <c r="D62" s="27" t="s">
        <v>123</v>
      </c>
      <c r="E62" s="26"/>
      <c r="F62" s="27" t="s">
        <v>85</v>
      </c>
      <c r="G62" s="28">
        <v>17</v>
      </c>
      <c r="H62" s="26"/>
    </row>
    <row r="63" s="5" customFormat="1" customHeight="1" spans="1:8">
      <c r="A63" s="13">
        <v>62</v>
      </c>
      <c r="B63" s="26" t="s">
        <v>61</v>
      </c>
      <c r="C63" s="26" t="s">
        <v>97</v>
      </c>
      <c r="D63" s="27" t="s">
        <v>124</v>
      </c>
      <c r="E63" s="26"/>
      <c r="F63" s="27" t="s">
        <v>85</v>
      </c>
      <c r="G63" s="28">
        <v>21</v>
      </c>
      <c r="H63" s="26"/>
    </row>
    <row r="64" s="2" customFormat="1" customHeight="1" spans="1:8">
      <c r="A64" s="13">
        <v>63</v>
      </c>
      <c r="B64" s="15" t="s">
        <v>125</v>
      </c>
      <c r="C64" s="15" t="s">
        <v>126</v>
      </c>
      <c r="D64" s="16" t="s">
        <v>127</v>
      </c>
      <c r="E64" s="15"/>
      <c r="F64" s="16" t="s">
        <v>128</v>
      </c>
      <c r="G64" s="17">
        <v>42.495</v>
      </c>
      <c r="H64" s="15" t="str">
        <f>_xlfn.DISPIMG("ID_EA3A62481E0D4FE9A68B6F9D97806290",1)</f>
        <v>=DISPIMG("ID_EA3A62481E0D4FE9A68B6F9D97806290",1)</v>
      </c>
    </row>
    <row r="65" s="2" customFormat="1" customHeight="1" spans="1:8">
      <c r="A65" s="13">
        <v>64</v>
      </c>
      <c r="B65" s="15" t="s">
        <v>125</v>
      </c>
      <c r="C65" s="16" t="s">
        <v>126</v>
      </c>
      <c r="D65" s="16" t="s">
        <v>129</v>
      </c>
      <c r="E65" s="16"/>
      <c r="F65" s="16" t="s">
        <v>130</v>
      </c>
      <c r="G65" s="17">
        <v>28</v>
      </c>
      <c r="H65" s="15" t="str">
        <f>_xlfn.DISPIMG("ID_8C7B367683D446C5A49AAA855773B3A0",1)</f>
        <v>=DISPIMG("ID_8C7B367683D446C5A49AAA855773B3A0",1)</v>
      </c>
    </row>
    <row r="66" s="2" customFormat="1" customHeight="1" spans="1:8">
      <c r="A66" s="13">
        <v>65</v>
      </c>
      <c r="B66" s="15" t="s">
        <v>125</v>
      </c>
      <c r="C66" s="18" t="s">
        <v>126</v>
      </c>
      <c r="D66" s="16" t="s">
        <v>131</v>
      </c>
      <c r="E66" s="16"/>
      <c r="F66" s="18" t="s">
        <v>130</v>
      </c>
      <c r="G66" s="25">
        <v>21.9</v>
      </c>
      <c r="H66" s="16" t="str">
        <f>_xlfn.DISPIMG("ID_2738AAE566354CE49B38BCF619303491",1)</f>
        <v>=DISPIMG("ID_2738AAE566354CE49B38BCF619303491",1)</v>
      </c>
    </row>
    <row r="67" s="2" customFormat="1" customHeight="1" spans="1:8">
      <c r="A67" s="13">
        <v>66</v>
      </c>
      <c r="B67" s="15" t="s">
        <v>125</v>
      </c>
      <c r="C67" s="18" t="s">
        <v>126</v>
      </c>
      <c r="D67" s="18" t="s">
        <v>132</v>
      </c>
      <c r="E67" s="18"/>
      <c r="F67" s="18" t="s">
        <v>130</v>
      </c>
      <c r="G67" s="25">
        <v>24.9</v>
      </c>
      <c r="H67" s="18" t="str">
        <f>_xlfn.DISPIMG("ID_21C12230E2D74B6D98B2A6CC108578EF",1)</f>
        <v>=DISPIMG("ID_21C12230E2D74B6D98B2A6CC108578EF",1)</v>
      </c>
    </row>
    <row r="68" s="2" customFormat="1" customHeight="1" spans="1:8">
      <c r="A68" s="13">
        <v>67</v>
      </c>
      <c r="B68" s="15" t="s">
        <v>125</v>
      </c>
      <c r="C68" s="16" t="s">
        <v>126</v>
      </c>
      <c r="D68" s="16" t="s">
        <v>133</v>
      </c>
      <c r="E68" s="16"/>
      <c r="F68" s="16" t="s">
        <v>130</v>
      </c>
      <c r="G68" s="17">
        <v>39.995</v>
      </c>
      <c r="H68" s="15" t="str">
        <f>_xlfn.DISPIMG("ID_929843A3B2DD4033AC8147CB735EB881",1)</f>
        <v>=DISPIMG("ID_929843A3B2DD4033AC8147CB735EB881",1)</v>
      </c>
    </row>
    <row r="69" s="2" customFormat="1" customHeight="1" spans="1:8">
      <c r="A69" s="13">
        <v>68</v>
      </c>
      <c r="B69" s="15" t="s">
        <v>125</v>
      </c>
      <c r="C69" s="15" t="s">
        <v>126</v>
      </c>
      <c r="D69" s="16" t="s">
        <v>134</v>
      </c>
      <c r="E69" s="15"/>
      <c r="F69" s="16" t="s">
        <v>135</v>
      </c>
      <c r="G69" s="17">
        <v>46.6566666666667</v>
      </c>
      <c r="H69" s="15" t="str">
        <f>_xlfn.DISPIMG("ID_DD035A9E819047A5A4EFE95D2ECA8A8E",1)</f>
        <v>=DISPIMG("ID_DD035A9E819047A5A4EFE95D2ECA8A8E",1)</v>
      </c>
    </row>
    <row r="70" s="2" customFormat="1" customHeight="1" spans="1:8">
      <c r="A70" s="13">
        <v>69</v>
      </c>
      <c r="B70" s="15" t="s">
        <v>125</v>
      </c>
      <c r="C70" s="15" t="s">
        <v>126</v>
      </c>
      <c r="D70" s="16" t="s">
        <v>136</v>
      </c>
      <c r="E70" s="15"/>
      <c r="F70" s="16" t="s">
        <v>137</v>
      </c>
      <c r="G70" s="17">
        <v>34.5</v>
      </c>
      <c r="H70" s="15" t="str">
        <f>_xlfn.DISPIMG("ID_759DBF0CF0A647F3B4B549F79E2220D8",1)</f>
        <v>=DISPIMG("ID_759DBF0CF0A647F3B4B549F79E2220D8",1)</v>
      </c>
    </row>
    <row r="71" s="2" customFormat="1" customHeight="1" spans="1:8">
      <c r="A71" s="13">
        <v>70</v>
      </c>
      <c r="B71" s="15" t="s">
        <v>125</v>
      </c>
      <c r="C71" s="15" t="s">
        <v>126</v>
      </c>
      <c r="D71" s="16" t="s">
        <v>138</v>
      </c>
      <c r="E71" s="15"/>
      <c r="F71" s="16" t="s">
        <v>139</v>
      </c>
      <c r="G71" s="17">
        <v>28</v>
      </c>
      <c r="H71" s="15" t="str">
        <f>_xlfn.DISPIMG("ID_25F7CE1EBE774E048BDF39447314086C",1)</f>
        <v>=DISPIMG("ID_25F7CE1EBE774E048BDF39447314086C",1)</v>
      </c>
    </row>
    <row r="72" s="2" customFormat="1" customHeight="1" spans="1:8">
      <c r="A72" s="13">
        <v>71</v>
      </c>
      <c r="B72" s="15" t="s">
        <v>125</v>
      </c>
      <c r="C72" s="15" t="s">
        <v>126</v>
      </c>
      <c r="D72" s="16" t="s">
        <v>140</v>
      </c>
      <c r="E72" s="15"/>
      <c r="F72" s="16" t="s">
        <v>141</v>
      </c>
      <c r="G72" s="17">
        <v>42</v>
      </c>
      <c r="H72" s="15" t="str">
        <f>_xlfn.DISPIMG("ID_A7702F7F19B64DD89489F9F11D39D324",1)</f>
        <v>=DISPIMG("ID_A7702F7F19B64DD89489F9F11D39D324",1)</v>
      </c>
    </row>
    <row r="73" s="2" customFormat="1" customHeight="1" spans="1:8">
      <c r="A73" s="13">
        <v>72</v>
      </c>
      <c r="B73" s="15" t="s">
        <v>125</v>
      </c>
      <c r="C73" s="14" t="s">
        <v>142</v>
      </c>
      <c r="D73" s="15" t="s">
        <v>143</v>
      </c>
      <c r="E73" s="15"/>
      <c r="F73" s="16" t="s">
        <v>144</v>
      </c>
      <c r="G73" s="17">
        <v>17.5</v>
      </c>
      <c r="H73" s="15" t="str">
        <f>_xlfn.DISPIMG("ID_71A48AA155034C939D5D1E35E19539BD",1)</f>
        <v>=DISPIMG("ID_71A48AA155034C939D5D1E35E19539BD",1)</v>
      </c>
    </row>
    <row r="74" s="2" customFormat="1" customHeight="1" spans="1:8">
      <c r="A74" s="13">
        <v>73</v>
      </c>
      <c r="B74" s="15" t="s">
        <v>125</v>
      </c>
      <c r="C74" s="15" t="s">
        <v>142</v>
      </c>
      <c r="D74" s="16" t="s">
        <v>145</v>
      </c>
      <c r="E74" s="15"/>
      <c r="F74" s="16" t="s">
        <v>146</v>
      </c>
      <c r="G74" s="17">
        <v>18.5333333333333</v>
      </c>
      <c r="H74" s="15" t="str">
        <f>_xlfn.DISPIMG("ID_C304A9A1F4F840A5A77DE1D372368F94",1)</f>
        <v>=DISPIMG("ID_C304A9A1F4F840A5A77DE1D372368F94",1)</v>
      </c>
    </row>
    <row r="75" s="5" customFormat="1" customHeight="1" spans="1:8">
      <c r="A75" s="13">
        <v>74</v>
      </c>
      <c r="B75" s="26" t="s">
        <v>125</v>
      </c>
      <c r="C75" s="29" t="s">
        <v>126</v>
      </c>
      <c r="D75" s="26" t="s">
        <v>147</v>
      </c>
      <c r="E75" s="26" t="s">
        <v>148</v>
      </c>
      <c r="F75" s="27" t="s">
        <v>85</v>
      </c>
      <c r="G75" s="30">
        <v>42</v>
      </c>
      <c r="H75" s="26"/>
    </row>
    <row r="76" s="2" customFormat="1" customHeight="1" spans="1:8">
      <c r="A76" s="13">
        <v>75</v>
      </c>
      <c r="B76" s="15" t="s">
        <v>149</v>
      </c>
      <c r="C76" s="14" t="s">
        <v>150</v>
      </c>
      <c r="D76" s="16" t="s">
        <v>151</v>
      </c>
      <c r="E76" s="16"/>
      <c r="F76" s="16" t="s">
        <v>130</v>
      </c>
      <c r="G76" s="17">
        <v>26</v>
      </c>
      <c r="H76" s="15" t="str">
        <f>_xlfn.DISPIMG("ID_F9348C7145A14C949D53428687D6887F",1)</f>
        <v>=DISPIMG("ID_F9348C7145A14C949D53428687D6887F",1)</v>
      </c>
    </row>
    <row r="77" s="2" customFormat="1" customHeight="1" spans="1:8">
      <c r="A77" s="13">
        <v>76</v>
      </c>
      <c r="B77" s="15" t="s">
        <v>149</v>
      </c>
      <c r="C77" s="15" t="s">
        <v>150</v>
      </c>
      <c r="D77" s="16" t="s">
        <v>152</v>
      </c>
      <c r="E77" s="15"/>
      <c r="F77" s="16" t="s">
        <v>130</v>
      </c>
      <c r="G77" s="17">
        <v>17.2</v>
      </c>
      <c r="H77" s="15" t="str">
        <f>_xlfn.DISPIMG("ID_3F7C864BF2004F4D93C7F83A197DFD0A",1)</f>
        <v>=DISPIMG("ID_3F7C864BF2004F4D93C7F83A197DFD0A",1)</v>
      </c>
    </row>
    <row r="78" s="2" customFormat="1" customHeight="1" spans="1:8">
      <c r="A78" s="13">
        <v>77</v>
      </c>
      <c r="B78" s="15" t="s">
        <v>149</v>
      </c>
      <c r="C78" s="14" t="s">
        <v>153</v>
      </c>
      <c r="D78" s="15" t="s">
        <v>154</v>
      </c>
      <c r="E78" s="15" t="s">
        <v>155</v>
      </c>
      <c r="F78" s="16" t="s">
        <v>156</v>
      </c>
      <c r="G78" s="17">
        <v>32</v>
      </c>
      <c r="H78" s="15" t="str">
        <f>_xlfn.DISPIMG("ID_9778C8EB586942BB9F271106508A4BC4",1)</f>
        <v>=DISPIMG("ID_9778C8EB586942BB9F271106508A4BC4",1)</v>
      </c>
    </row>
    <row r="79" s="2" customFormat="1" customHeight="1" spans="1:8">
      <c r="A79" s="13">
        <v>78</v>
      </c>
      <c r="B79" s="15" t="s">
        <v>149</v>
      </c>
      <c r="C79" s="15" t="s">
        <v>157</v>
      </c>
      <c r="D79" s="16" t="s">
        <v>158</v>
      </c>
      <c r="E79" s="15"/>
      <c r="F79" s="16" t="s">
        <v>130</v>
      </c>
      <c r="G79" s="17">
        <v>14</v>
      </c>
      <c r="H79" s="15" t="str">
        <f>_xlfn.DISPIMG("ID_D179D981105F40CBB61A2E59CAB9A9A0",1)</f>
        <v>=DISPIMG("ID_D179D981105F40CBB61A2E59CAB9A9A0",1)</v>
      </c>
    </row>
    <row r="80" s="2" customFormat="1" customHeight="1" spans="1:8">
      <c r="A80" s="13">
        <v>79</v>
      </c>
      <c r="B80" s="15" t="s">
        <v>149</v>
      </c>
      <c r="C80" s="15" t="s">
        <v>157</v>
      </c>
      <c r="D80" s="16" t="s">
        <v>159</v>
      </c>
      <c r="E80" s="15"/>
      <c r="F80" s="16" t="s">
        <v>130</v>
      </c>
      <c r="G80" s="17">
        <v>19.8</v>
      </c>
      <c r="H80" s="15" t="str">
        <f>_xlfn.DISPIMG("ID_B51456AFFEBF4D8495DE3BD92AFF473B",1)</f>
        <v>=DISPIMG("ID_B51456AFFEBF4D8495DE3BD92AFF473B",1)</v>
      </c>
    </row>
    <row r="81" s="2" customFormat="1" customHeight="1" spans="1:8">
      <c r="A81" s="13">
        <v>80</v>
      </c>
      <c r="B81" s="15" t="s">
        <v>149</v>
      </c>
      <c r="C81" s="15" t="s">
        <v>157</v>
      </c>
      <c r="D81" s="16" t="s">
        <v>160</v>
      </c>
      <c r="E81" s="15"/>
      <c r="F81" s="16" t="s">
        <v>130</v>
      </c>
      <c r="G81" s="17">
        <v>19.8</v>
      </c>
      <c r="H81" s="15" t="str">
        <f>_xlfn.DISPIMG("ID_43327C3A37BA40E2B759881AFAE73733",1)</f>
        <v>=DISPIMG("ID_43327C3A37BA40E2B759881AFAE73733",1)</v>
      </c>
    </row>
    <row r="82" s="2" customFormat="1" customHeight="1" spans="1:8">
      <c r="A82" s="13">
        <v>81</v>
      </c>
      <c r="B82" s="15" t="s">
        <v>149</v>
      </c>
      <c r="C82" s="15" t="s">
        <v>157</v>
      </c>
      <c r="D82" s="16" t="s">
        <v>161</v>
      </c>
      <c r="E82" s="15"/>
      <c r="F82" s="16" t="s">
        <v>162</v>
      </c>
      <c r="G82" s="17">
        <v>18</v>
      </c>
      <c r="H82" s="15" t="str">
        <f>_xlfn.DISPIMG("ID_CE13A88A8CA6443C88FEB508C605EC82",1)</f>
        <v>=DISPIMG("ID_CE13A88A8CA6443C88FEB508C605EC82",1)</v>
      </c>
    </row>
    <row r="83" s="2" customFormat="1" customHeight="1" spans="1:8">
      <c r="A83" s="13">
        <v>82</v>
      </c>
      <c r="B83" s="15" t="s">
        <v>149</v>
      </c>
      <c r="C83" s="15" t="s">
        <v>157</v>
      </c>
      <c r="D83" s="16" t="s">
        <v>163</v>
      </c>
      <c r="E83" s="15"/>
      <c r="F83" s="16" t="s">
        <v>164</v>
      </c>
      <c r="G83" s="17">
        <v>33</v>
      </c>
      <c r="H83" s="15" t="str">
        <f>_xlfn.DISPIMG("ID_38D90ABE8E154087BEB5917F11098372",1)</f>
        <v>=DISPIMG("ID_38D90ABE8E154087BEB5917F11098372",1)</v>
      </c>
    </row>
    <row r="84" s="2" customFormat="1" customHeight="1" spans="1:8">
      <c r="A84" s="13">
        <v>83</v>
      </c>
      <c r="B84" s="15" t="s">
        <v>149</v>
      </c>
      <c r="C84" s="15" t="s">
        <v>157</v>
      </c>
      <c r="D84" s="16" t="s">
        <v>165</v>
      </c>
      <c r="E84" s="15"/>
      <c r="F84" s="16" t="s">
        <v>166</v>
      </c>
      <c r="G84" s="17">
        <v>11.98</v>
      </c>
      <c r="H84" s="15" t="str">
        <f>_xlfn.DISPIMG("ID_42D3F401AE2B4C1FBEAB8077DD0907D0",1)</f>
        <v>=DISPIMG("ID_42D3F401AE2B4C1FBEAB8077DD0907D0",1)</v>
      </c>
    </row>
    <row r="85" s="2" customFormat="1" customHeight="1" spans="1:8">
      <c r="A85" s="13">
        <v>84</v>
      </c>
      <c r="B85" s="15" t="s">
        <v>149</v>
      </c>
      <c r="C85" s="15" t="s">
        <v>157</v>
      </c>
      <c r="D85" s="16" t="s">
        <v>167</v>
      </c>
      <c r="E85" s="16" t="s">
        <v>168</v>
      </c>
      <c r="F85" s="16" t="s">
        <v>169</v>
      </c>
      <c r="G85" s="25">
        <v>260</v>
      </c>
      <c r="H85" s="16" t="str">
        <f>_xlfn.DISPIMG("ID_10B9A44E0EC34188B840252D4F01E6B7",1)</f>
        <v>=DISPIMG("ID_10B9A44E0EC34188B840252D4F01E6B7",1)</v>
      </c>
    </row>
    <row r="86" s="2" customFormat="1" customHeight="1" spans="1:8">
      <c r="A86" s="13">
        <v>85</v>
      </c>
      <c r="B86" s="15" t="s">
        <v>149</v>
      </c>
      <c r="C86" s="15" t="s">
        <v>157</v>
      </c>
      <c r="D86" s="16" t="s">
        <v>170</v>
      </c>
      <c r="E86" s="16" t="s">
        <v>168</v>
      </c>
      <c r="F86" s="16" t="s">
        <v>169</v>
      </c>
      <c r="G86" s="25">
        <v>250</v>
      </c>
      <c r="H86" s="16"/>
    </row>
    <row r="87" s="2" customFormat="1" customHeight="1" spans="1:8">
      <c r="A87" s="13">
        <v>86</v>
      </c>
      <c r="B87" s="15" t="s">
        <v>149</v>
      </c>
      <c r="C87" s="15" t="s">
        <v>157</v>
      </c>
      <c r="D87" s="16" t="s">
        <v>171</v>
      </c>
      <c r="E87" s="16" t="s">
        <v>168</v>
      </c>
      <c r="F87" s="16" t="s">
        <v>169</v>
      </c>
      <c r="G87" s="25">
        <v>260</v>
      </c>
      <c r="H87" s="16" t="str">
        <f>_xlfn.DISPIMG("ID_18715EC41261463C8C14425774F62469",1)</f>
        <v>=DISPIMG("ID_18715EC41261463C8C14425774F62469",1)</v>
      </c>
    </row>
    <row r="88" s="2" customFormat="1" customHeight="1" spans="1:8">
      <c r="A88" s="13">
        <v>87</v>
      </c>
      <c r="B88" s="15" t="s">
        <v>149</v>
      </c>
      <c r="C88" s="15" t="s">
        <v>157</v>
      </c>
      <c r="D88" s="16" t="s">
        <v>172</v>
      </c>
      <c r="E88" s="16" t="s">
        <v>168</v>
      </c>
      <c r="F88" s="16" t="s">
        <v>169</v>
      </c>
      <c r="G88" s="25">
        <v>250</v>
      </c>
      <c r="H88" s="16"/>
    </row>
    <row r="89" s="2" customFormat="1" customHeight="1" spans="1:8">
      <c r="A89" s="13">
        <v>88</v>
      </c>
      <c r="B89" s="15" t="s">
        <v>149</v>
      </c>
      <c r="C89" s="15" t="s">
        <v>157</v>
      </c>
      <c r="D89" s="16" t="s">
        <v>173</v>
      </c>
      <c r="E89" s="16" t="s">
        <v>168</v>
      </c>
      <c r="F89" s="16" t="s">
        <v>169</v>
      </c>
      <c r="G89" s="25">
        <v>240</v>
      </c>
      <c r="H89" s="16" t="str">
        <f>_xlfn.DISPIMG("ID_F98EDD9B2E474D2F91D25E0532D3872F",1)</f>
        <v>=DISPIMG("ID_F98EDD9B2E474D2F91D25E0532D3872F",1)</v>
      </c>
    </row>
    <row r="90" s="2" customFormat="1" customHeight="1" spans="1:8">
      <c r="A90" s="13">
        <v>89</v>
      </c>
      <c r="B90" s="15" t="s">
        <v>149</v>
      </c>
      <c r="C90" s="15" t="s">
        <v>157</v>
      </c>
      <c r="D90" s="16" t="s">
        <v>174</v>
      </c>
      <c r="E90" s="16" t="s">
        <v>168</v>
      </c>
      <c r="F90" s="16" t="s">
        <v>169</v>
      </c>
      <c r="G90" s="25">
        <v>240</v>
      </c>
      <c r="H90" s="16" t="str">
        <f>_xlfn.DISPIMG("ID_B102E015B5BE4071882E3691DEA0453D",1)</f>
        <v>=DISPIMG("ID_B102E015B5BE4071882E3691DEA0453D",1)</v>
      </c>
    </row>
    <row r="91" s="2" customFormat="1" customHeight="1" spans="1:8">
      <c r="A91" s="13">
        <v>90</v>
      </c>
      <c r="B91" s="15" t="s">
        <v>149</v>
      </c>
      <c r="C91" s="14" t="s">
        <v>175</v>
      </c>
      <c r="D91" s="15" t="s">
        <v>176</v>
      </c>
      <c r="E91" s="15"/>
      <c r="F91" s="16" t="s">
        <v>130</v>
      </c>
      <c r="G91" s="17">
        <v>15</v>
      </c>
      <c r="H91" s="15" t="str">
        <f>_xlfn.DISPIMG("ID_41787003812B45908EA4625BAEC430B4",1)</f>
        <v>=DISPIMG("ID_41787003812B45908EA4625BAEC430B4",1)</v>
      </c>
    </row>
    <row r="92" s="2" customFormat="1" customHeight="1" spans="1:8">
      <c r="A92" s="13">
        <v>91</v>
      </c>
      <c r="B92" s="15" t="s">
        <v>149</v>
      </c>
      <c r="C92" s="15" t="s">
        <v>175</v>
      </c>
      <c r="D92" s="16" t="s">
        <v>177</v>
      </c>
      <c r="E92" s="15"/>
      <c r="F92" s="16" t="s">
        <v>130</v>
      </c>
      <c r="G92" s="17">
        <v>15.5</v>
      </c>
      <c r="H92" s="15" t="str">
        <f>_xlfn.DISPIMG("ID_543C25C3E23C4BF887634AD53B9FB061",1)</f>
        <v>=DISPIMG("ID_543C25C3E23C4BF887634AD53B9FB061",1)</v>
      </c>
    </row>
    <row r="93" s="2" customFormat="1" customHeight="1" spans="1:8">
      <c r="A93" s="13">
        <v>92</v>
      </c>
      <c r="B93" s="15" t="s">
        <v>149</v>
      </c>
      <c r="C93" s="15" t="s">
        <v>175</v>
      </c>
      <c r="D93" s="16" t="s">
        <v>178</v>
      </c>
      <c r="E93" s="15"/>
      <c r="F93" s="16" t="s">
        <v>179</v>
      </c>
      <c r="G93" s="17">
        <v>20.9</v>
      </c>
      <c r="H93" s="15" t="str">
        <f>_xlfn.DISPIMG("ID_F85269F196A94314A920A8C34920819E",1)</f>
        <v>=DISPIMG("ID_F85269F196A94314A920A8C34920819E",1)</v>
      </c>
    </row>
    <row r="94" s="2" customFormat="1" customHeight="1" spans="1:8">
      <c r="A94" s="13">
        <v>93</v>
      </c>
      <c r="B94" s="15" t="s">
        <v>149</v>
      </c>
      <c r="C94" s="15" t="s">
        <v>175</v>
      </c>
      <c r="D94" s="16" t="s">
        <v>180</v>
      </c>
      <c r="E94" s="15"/>
      <c r="F94" s="16" t="s">
        <v>181</v>
      </c>
      <c r="G94" s="17">
        <v>8.3</v>
      </c>
      <c r="H94" s="15" t="str">
        <f>_xlfn.DISPIMG("ID_768B96ACEB5A48F6A8178D89681F687F",1)</f>
        <v>=DISPIMG("ID_768B96ACEB5A48F6A8178D89681F687F",1)</v>
      </c>
    </row>
    <row r="95" s="2" customFormat="1" customHeight="1" spans="1:8">
      <c r="A95" s="13">
        <v>94</v>
      </c>
      <c r="B95" s="15" t="s">
        <v>149</v>
      </c>
      <c r="C95" s="15" t="s">
        <v>175</v>
      </c>
      <c r="D95" s="16" t="s">
        <v>182</v>
      </c>
      <c r="E95" s="15"/>
      <c r="F95" s="16" t="s">
        <v>130</v>
      </c>
      <c r="G95" s="17">
        <v>2</v>
      </c>
      <c r="H95" s="15" t="str">
        <f>_xlfn.DISPIMG("ID_B7147FF34B65451B9EAB00801CF3E439",1)</f>
        <v>=DISPIMG("ID_B7147FF34B65451B9EAB00801CF3E439",1)</v>
      </c>
    </row>
    <row r="96" s="2" customFormat="1" customHeight="1" spans="1:8">
      <c r="A96" s="13">
        <v>95</v>
      </c>
      <c r="B96" s="15" t="s">
        <v>183</v>
      </c>
      <c r="C96" s="15" t="s">
        <v>184</v>
      </c>
      <c r="D96" s="15" t="s">
        <v>184</v>
      </c>
      <c r="E96" s="15"/>
      <c r="F96" s="16" t="s">
        <v>130</v>
      </c>
      <c r="G96" s="17">
        <v>9.495</v>
      </c>
      <c r="H96" s="15" t="str">
        <f>_xlfn.DISPIMG("ID_44D1FCAACA5E47D6A22EB5263740B2A6",1)</f>
        <v>=DISPIMG("ID_44D1FCAACA5E47D6A22EB5263740B2A6",1)</v>
      </c>
    </row>
    <row r="97" s="2" customFormat="1" customHeight="1" spans="1:8">
      <c r="A97" s="13">
        <v>96</v>
      </c>
      <c r="B97" s="15" t="s">
        <v>183</v>
      </c>
      <c r="C97" s="15" t="s">
        <v>185</v>
      </c>
      <c r="D97" s="16" t="s">
        <v>186</v>
      </c>
      <c r="E97" s="15"/>
      <c r="F97" s="16" t="s">
        <v>187</v>
      </c>
      <c r="G97" s="17">
        <v>13.8</v>
      </c>
      <c r="H97" s="15" t="str">
        <f>_xlfn.DISPIMG("ID_EA97C4C609B44A8183268005AACD629F",1)</f>
        <v>=DISPIMG("ID_EA97C4C609B44A8183268005AACD629F",1)</v>
      </c>
    </row>
    <row r="98" s="2" customFormat="1" customHeight="1" spans="1:8">
      <c r="A98" s="13">
        <v>97</v>
      </c>
      <c r="B98" s="15" t="s">
        <v>183</v>
      </c>
      <c r="C98" s="15" t="s">
        <v>185</v>
      </c>
      <c r="D98" s="16" t="s">
        <v>188</v>
      </c>
      <c r="E98" s="15"/>
      <c r="F98" s="16" t="s">
        <v>189</v>
      </c>
      <c r="G98" s="17">
        <v>4.9</v>
      </c>
      <c r="H98" s="15" t="str">
        <f>_xlfn.DISPIMG("ID_10EEFFC0A5C74CB697E47E4EE9D66922",1)</f>
        <v>=DISPIMG("ID_10EEFFC0A5C74CB697E47E4EE9D66922",1)</v>
      </c>
    </row>
    <row r="99" s="2" customFormat="1" customHeight="1" spans="1:8">
      <c r="A99" s="13">
        <v>98</v>
      </c>
      <c r="B99" s="15" t="s">
        <v>183</v>
      </c>
      <c r="C99" s="15" t="s">
        <v>185</v>
      </c>
      <c r="D99" s="16" t="s">
        <v>190</v>
      </c>
      <c r="E99" s="15"/>
      <c r="F99" s="16" t="s">
        <v>191</v>
      </c>
      <c r="G99" s="17">
        <v>7.98</v>
      </c>
      <c r="H99" s="15" t="str">
        <f>_xlfn.DISPIMG("ID_3700AD21572345CDA36D72BFC0F1854E",1)</f>
        <v>=DISPIMG("ID_3700AD21572345CDA36D72BFC0F1854E",1)</v>
      </c>
    </row>
    <row r="100" s="6" customFormat="1" customHeight="1" spans="1:8">
      <c r="A100" s="13">
        <v>99</v>
      </c>
      <c r="B100" s="26" t="s">
        <v>183</v>
      </c>
      <c r="C100" s="26" t="s">
        <v>185</v>
      </c>
      <c r="D100" s="27" t="s">
        <v>192</v>
      </c>
      <c r="E100" s="26" t="s">
        <v>193</v>
      </c>
      <c r="F100" s="27" t="s">
        <v>194</v>
      </c>
      <c r="G100" s="28">
        <v>296.7</v>
      </c>
      <c r="H100" s="26"/>
    </row>
    <row r="101" s="6" customFormat="1" customHeight="1" spans="1:8">
      <c r="A101" s="13">
        <v>100</v>
      </c>
      <c r="B101" s="26" t="s">
        <v>183</v>
      </c>
      <c r="C101" s="26" t="s">
        <v>185</v>
      </c>
      <c r="D101" s="27" t="s">
        <v>195</v>
      </c>
      <c r="E101" s="26" t="s">
        <v>193</v>
      </c>
      <c r="F101" s="27" t="s">
        <v>194</v>
      </c>
      <c r="G101" s="28">
        <v>335.4</v>
      </c>
      <c r="H101" s="26"/>
    </row>
    <row r="102" s="6" customFormat="1" customHeight="1" spans="1:8">
      <c r="A102" s="13">
        <v>101</v>
      </c>
      <c r="B102" s="26" t="s">
        <v>183</v>
      </c>
      <c r="C102" s="26" t="s">
        <v>185</v>
      </c>
      <c r="D102" s="27" t="s">
        <v>196</v>
      </c>
      <c r="E102" s="26" t="s">
        <v>193</v>
      </c>
      <c r="F102" s="27" t="s">
        <v>194</v>
      </c>
      <c r="G102" s="28">
        <v>369.8</v>
      </c>
      <c r="H102" s="26"/>
    </row>
    <row r="103" s="6" customFormat="1" customHeight="1" spans="1:8">
      <c r="A103" s="13">
        <v>102</v>
      </c>
      <c r="B103" s="26" t="s">
        <v>183</v>
      </c>
      <c r="C103" s="26" t="s">
        <v>185</v>
      </c>
      <c r="D103" s="27" t="s">
        <v>197</v>
      </c>
      <c r="E103" s="26" t="s">
        <v>193</v>
      </c>
      <c r="F103" s="27" t="s">
        <v>194</v>
      </c>
      <c r="G103" s="28">
        <v>382.7</v>
      </c>
      <c r="H103" s="26"/>
    </row>
    <row r="104" s="6" customFormat="1" customHeight="1" spans="1:8">
      <c r="A104" s="13">
        <v>103</v>
      </c>
      <c r="B104" s="26" t="s">
        <v>183</v>
      </c>
      <c r="C104" s="26" t="s">
        <v>185</v>
      </c>
      <c r="D104" s="27" t="s">
        <v>198</v>
      </c>
      <c r="E104" s="26" t="s">
        <v>168</v>
      </c>
      <c r="F104" s="27" t="s">
        <v>199</v>
      </c>
      <c r="G104" s="28">
        <v>336</v>
      </c>
      <c r="H104" s="26"/>
    </row>
    <row r="105" s="7" customFormat="1" customHeight="1" spans="1:8">
      <c r="A105" s="13">
        <v>104</v>
      </c>
      <c r="B105" s="15" t="s">
        <v>183</v>
      </c>
      <c r="C105" s="15" t="s">
        <v>200</v>
      </c>
      <c r="D105" s="16" t="s">
        <v>201</v>
      </c>
      <c r="E105" s="15"/>
      <c r="F105" s="16" t="s">
        <v>202</v>
      </c>
      <c r="G105" s="17">
        <v>1.8</v>
      </c>
      <c r="H105" s="15" t="str">
        <f>_xlfn.DISPIMG("ID_4DA952F64FFD43378D837C1061EC9652",1)</f>
        <v>=DISPIMG("ID_4DA952F64FFD43378D837C1061EC9652",1)</v>
      </c>
    </row>
    <row r="106" s="2" customFormat="1" customHeight="1" spans="1:8">
      <c r="A106" s="13">
        <v>105</v>
      </c>
      <c r="B106" s="15" t="s">
        <v>203</v>
      </c>
      <c r="C106" s="15" t="s">
        <v>204</v>
      </c>
      <c r="D106" s="16" t="s">
        <v>205</v>
      </c>
      <c r="E106" s="15"/>
      <c r="F106" s="16" t="s">
        <v>206</v>
      </c>
      <c r="G106" s="17">
        <v>5.99</v>
      </c>
      <c r="H106" s="15" t="str">
        <f>_xlfn.DISPIMG("ID_9007F15C922F47FFAD4515D58607EB6D",1)</f>
        <v>=DISPIMG("ID_9007F15C922F47FFAD4515D58607EB6D",1)</v>
      </c>
    </row>
    <row r="107" s="2" customFormat="1" customHeight="1" spans="1:8">
      <c r="A107" s="13">
        <v>106</v>
      </c>
      <c r="B107" s="15" t="s">
        <v>203</v>
      </c>
      <c r="C107" s="15" t="s">
        <v>204</v>
      </c>
      <c r="D107" s="16" t="s">
        <v>207</v>
      </c>
      <c r="E107" s="15"/>
      <c r="F107" s="16" t="s">
        <v>208</v>
      </c>
      <c r="G107" s="17">
        <v>11.2333333333333</v>
      </c>
      <c r="H107" s="15" t="str">
        <f>_xlfn.DISPIMG("ID_CF0F9942E50A4F15B67FED1351A581DA",1)</f>
        <v>=DISPIMG("ID_CF0F9942E50A4F15B67FED1351A581DA",1)</v>
      </c>
    </row>
    <row r="108" s="2" customFormat="1" customHeight="1" spans="1:8">
      <c r="A108" s="13">
        <v>107</v>
      </c>
      <c r="B108" s="15" t="s">
        <v>203</v>
      </c>
      <c r="C108" s="15" t="s">
        <v>204</v>
      </c>
      <c r="D108" s="16" t="s">
        <v>209</v>
      </c>
      <c r="E108" s="16"/>
      <c r="F108" s="16" t="s">
        <v>130</v>
      </c>
      <c r="G108" s="17">
        <v>39.2333333333333</v>
      </c>
      <c r="H108" s="15" t="str">
        <f>_xlfn.DISPIMG("ID_2AF8AEC52FBF439194A09B1D23FBFCC9",1)</f>
        <v>=DISPIMG("ID_2AF8AEC52FBF439194A09B1D23FBFCC9",1)</v>
      </c>
    </row>
    <row r="109" s="2" customFormat="1" customHeight="1" spans="1:8">
      <c r="A109" s="13">
        <v>108</v>
      </c>
      <c r="B109" s="15" t="s">
        <v>203</v>
      </c>
      <c r="C109" s="15" t="s">
        <v>204</v>
      </c>
      <c r="D109" s="16" t="s">
        <v>210</v>
      </c>
      <c r="E109" s="15"/>
      <c r="F109" s="16" t="s">
        <v>211</v>
      </c>
      <c r="G109" s="17">
        <v>13.9</v>
      </c>
      <c r="H109" s="15" t="str">
        <f>_xlfn.DISPIMG("ID_AE11E304BDBD47209DC3F69FF570F8F5",1)</f>
        <v>=DISPIMG("ID_AE11E304BDBD47209DC3F69FF570F8F5",1)</v>
      </c>
    </row>
    <row r="110" s="2" customFormat="1" customHeight="1" spans="1:8">
      <c r="A110" s="13">
        <v>109</v>
      </c>
      <c r="B110" s="15" t="s">
        <v>203</v>
      </c>
      <c r="C110" s="15" t="s">
        <v>204</v>
      </c>
      <c r="D110" s="16" t="s">
        <v>212</v>
      </c>
      <c r="E110" s="15"/>
      <c r="F110" s="16" t="s">
        <v>213</v>
      </c>
      <c r="G110" s="17">
        <v>18.5666666666667</v>
      </c>
      <c r="H110" s="15" t="str">
        <f>_xlfn.DISPIMG("ID_0E70132BAED341DFAC5707C035250707",1)</f>
        <v>=DISPIMG("ID_0E70132BAED341DFAC5707C035250707",1)</v>
      </c>
    </row>
    <row r="111" s="2" customFormat="1" customHeight="1" spans="1:8">
      <c r="A111" s="13">
        <v>110</v>
      </c>
      <c r="B111" s="15" t="s">
        <v>203</v>
      </c>
      <c r="C111" s="15" t="s">
        <v>204</v>
      </c>
      <c r="D111" s="16" t="s">
        <v>214</v>
      </c>
      <c r="E111" s="15"/>
      <c r="F111" s="16" t="s">
        <v>215</v>
      </c>
      <c r="G111" s="17">
        <v>13.6</v>
      </c>
      <c r="H111" s="15" t="str">
        <f>_xlfn.DISPIMG("ID_73DE831C72AC444AAC20E312F1565C4D",1)</f>
        <v>=DISPIMG("ID_73DE831C72AC444AAC20E312F1565C4D",1)</v>
      </c>
    </row>
    <row r="112" s="2" customFormat="1" customHeight="1" spans="1:8">
      <c r="A112" s="13">
        <v>111</v>
      </c>
      <c r="B112" s="15" t="s">
        <v>203</v>
      </c>
      <c r="C112" s="15" t="s">
        <v>204</v>
      </c>
      <c r="D112" s="16" t="s">
        <v>216</v>
      </c>
      <c r="E112" s="15"/>
      <c r="F112" s="16" t="s">
        <v>217</v>
      </c>
      <c r="G112" s="17">
        <v>18.5666666666667</v>
      </c>
      <c r="H112" s="15" t="str">
        <f>_xlfn.DISPIMG("ID_6512B3BE8E8148D0809C2DD0381D3369",1)</f>
        <v>=DISPIMG("ID_6512B3BE8E8148D0809C2DD0381D3369",1)</v>
      </c>
    </row>
    <row r="113" s="2" customFormat="1" customHeight="1" spans="1:8">
      <c r="A113" s="13">
        <v>112</v>
      </c>
      <c r="B113" s="15" t="s">
        <v>203</v>
      </c>
      <c r="C113" s="15" t="s">
        <v>204</v>
      </c>
      <c r="D113" s="16" t="s">
        <v>218</v>
      </c>
      <c r="E113" s="15"/>
      <c r="F113" s="16" t="s">
        <v>130</v>
      </c>
      <c r="G113" s="17">
        <v>15.5</v>
      </c>
      <c r="H113" s="15" t="str">
        <f>_xlfn.DISPIMG("ID_11D1E12034494505AD251BF349F1818E",1)</f>
        <v>=DISPIMG("ID_11D1E12034494505AD251BF349F1818E",1)</v>
      </c>
    </row>
    <row r="114" s="2" customFormat="1" customHeight="1" spans="1:8">
      <c r="A114" s="13">
        <v>113</v>
      </c>
      <c r="B114" s="15" t="s">
        <v>203</v>
      </c>
      <c r="C114" s="15" t="s">
        <v>204</v>
      </c>
      <c r="D114" s="16" t="s">
        <v>219</v>
      </c>
      <c r="E114" s="15"/>
      <c r="F114" s="16" t="s">
        <v>220</v>
      </c>
      <c r="G114" s="17">
        <v>11.95</v>
      </c>
      <c r="H114" s="15" t="str">
        <f>_xlfn.DISPIMG("ID_75B257030DCD442DA316E7ECF0F15CA8",1)</f>
        <v>=DISPIMG("ID_75B257030DCD442DA316E7ECF0F15CA8",1)</v>
      </c>
    </row>
    <row r="115" s="2" customFormat="1" customHeight="1" spans="1:8">
      <c r="A115" s="13">
        <v>114</v>
      </c>
      <c r="B115" s="15" t="s">
        <v>203</v>
      </c>
      <c r="C115" s="15" t="s">
        <v>221</v>
      </c>
      <c r="D115" s="15" t="s">
        <v>222</v>
      </c>
      <c r="E115" s="15" t="s">
        <v>223</v>
      </c>
      <c r="F115" s="16" t="s">
        <v>224</v>
      </c>
      <c r="G115" s="17">
        <v>55</v>
      </c>
      <c r="H115" s="15" t="str">
        <f>_xlfn.DISPIMG("ID_B8B7945B7AA14C39A3FB1DADA78D1F64",1)</f>
        <v>=DISPIMG("ID_B8B7945B7AA14C39A3FB1DADA78D1F64",1)</v>
      </c>
    </row>
    <row r="116" s="2" customFormat="1" customHeight="1" spans="1:8">
      <c r="A116" s="13">
        <v>115</v>
      </c>
      <c r="B116" s="15" t="s">
        <v>225</v>
      </c>
      <c r="C116" s="14" t="s">
        <v>226</v>
      </c>
      <c r="D116" s="16" t="s">
        <v>227</v>
      </c>
      <c r="E116" s="15" t="s">
        <v>228</v>
      </c>
      <c r="F116" s="16" t="s">
        <v>229</v>
      </c>
      <c r="G116" s="17">
        <v>5.9</v>
      </c>
      <c r="H116" s="15" t="str">
        <f>_xlfn.DISPIMG("ID_E0C61A328D714904870559FB38221DB6",1)</f>
        <v>=DISPIMG("ID_E0C61A328D714904870559FB38221DB6",1)</v>
      </c>
    </row>
    <row r="117" s="2" customFormat="1" customHeight="1" spans="1:8">
      <c r="A117" s="13">
        <v>116</v>
      </c>
      <c r="B117" s="15" t="s">
        <v>225</v>
      </c>
      <c r="C117" s="14" t="s">
        <v>226</v>
      </c>
      <c r="D117" s="16" t="s">
        <v>230</v>
      </c>
      <c r="E117" s="15" t="s">
        <v>231</v>
      </c>
      <c r="F117" s="16" t="s">
        <v>232</v>
      </c>
      <c r="G117" s="17">
        <v>8.6</v>
      </c>
      <c r="H117" s="15" t="str">
        <f>_xlfn.DISPIMG("ID_A5C467B60F36445AB5C85672306CCCA7",1)</f>
        <v>=DISPIMG("ID_A5C467B60F36445AB5C85672306CCCA7",1)</v>
      </c>
    </row>
    <row r="118" s="2" customFormat="1" customHeight="1" spans="1:8">
      <c r="A118" s="13">
        <v>117</v>
      </c>
      <c r="B118" s="15" t="s">
        <v>225</v>
      </c>
      <c r="C118" s="14" t="s">
        <v>226</v>
      </c>
      <c r="D118" s="16" t="s">
        <v>233</v>
      </c>
      <c r="E118" s="15" t="s">
        <v>231</v>
      </c>
      <c r="F118" s="16" t="s">
        <v>234</v>
      </c>
      <c r="G118" s="17">
        <v>35</v>
      </c>
      <c r="H118" s="15" t="str">
        <f>_xlfn.DISPIMG("ID_58499D70D22749D1B9CBA7B9BC491FD7",1)</f>
        <v>=DISPIMG("ID_58499D70D22749D1B9CBA7B9BC491FD7",1)</v>
      </c>
    </row>
    <row r="119" s="2" customFormat="1" customHeight="1" spans="1:8">
      <c r="A119" s="13">
        <v>118</v>
      </c>
      <c r="B119" s="15" t="s">
        <v>225</v>
      </c>
      <c r="C119" s="14" t="s">
        <v>226</v>
      </c>
      <c r="D119" s="16" t="s">
        <v>233</v>
      </c>
      <c r="E119" s="15" t="s">
        <v>231</v>
      </c>
      <c r="F119" s="16" t="s">
        <v>235</v>
      </c>
      <c r="G119" s="17">
        <v>60</v>
      </c>
      <c r="H119" s="15" t="str">
        <f>_xlfn.DISPIMG("ID_BA099FCBE43D43E39BF0995A18ED3118",1)</f>
        <v>=DISPIMG("ID_BA099FCBE43D43E39BF0995A18ED3118",1)</v>
      </c>
    </row>
    <row r="120" s="2" customFormat="1" customHeight="1" spans="1:8">
      <c r="A120" s="13">
        <v>119</v>
      </c>
      <c r="B120" s="15" t="s">
        <v>225</v>
      </c>
      <c r="C120" s="14" t="s">
        <v>226</v>
      </c>
      <c r="D120" s="15" t="s">
        <v>236</v>
      </c>
      <c r="E120" s="15" t="s">
        <v>237</v>
      </c>
      <c r="F120" s="16" t="s">
        <v>238</v>
      </c>
      <c r="G120" s="17">
        <v>20</v>
      </c>
      <c r="H120" s="15" t="str">
        <f>_xlfn.DISPIMG("ID_9876748702C94A7FB29DAEE265816D32",1)</f>
        <v>=DISPIMG("ID_9876748702C94A7FB29DAEE265816D32",1)</v>
      </c>
    </row>
    <row r="121" s="2" customFormat="1" customHeight="1" spans="1:8">
      <c r="A121" s="13">
        <v>120</v>
      </c>
      <c r="B121" s="19" t="s">
        <v>225</v>
      </c>
      <c r="C121" s="19" t="s">
        <v>226</v>
      </c>
      <c r="D121" s="19" t="s">
        <v>236</v>
      </c>
      <c r="E121" s="19" t="s">
        <v>237</v>
      </c>
      <c r="F121" s="19" t="s">
        <v>239</v>
      </c>
      <c r="G121" s="25">
        <v>78</v>
      </c>
      <c r="H121" s="16" t="str">
        <f>_xlfn.DISPIMG("ID_DC6BED516C9C4A03BB2BB2D000B3830B",1)</f>
        <v>=DISPIMG("ID_DC6BED516C9C4A03BB2BB2D000B3830B",1)</v>
      </c>
    </row>
    <row r="122" s="2" customFormat="1" customHeight="1" spans="1:8">
      <c r="A122" s="13">
        <v>121</v>
      </c>
      <c r="B122" s="15" t="s">
        <v>225</v>
      </c>
      <c r="C122" s="14" t="s">
        <v>226</v>
      </c>
      <c r="D122" s="16" t="s">
        <v>240</v>
      </c>
      <c r="E122" s="15" t="s">
        <v>241</v>
      </c>
      <c r="F122" s="16" t="s">
        <v>242</v>
      </c>
      <c r="G122" s="17">
        <v>13.3</v>
      </c>
      <c r="H122" s="15" t="str">
        <f>_xlfn.DISPIMG("ID_69A9CBCD9E4A4D989DBD75202CC7EA7F",1)</f>
        <v>=DISPIMG("ID_69A9CBCD9E4A4D989DBD75202CC7EA7F",1)</v>
      </c>
    </row>
    <row r="123" s="2" customFormat="1" customHeight="1" spans="1:8">
      <c r="A123" s="13">
        <v>122</v>
      </c>
      <c r="B123" s="15" t="s">
        <v>225</v>
      </c>
      <c r="C123" s="14" t="s">
        <v>226</v>
      </c>
      <c r="D123" s="16" t="s">
        <v>243</v>
      </c>
      <c r="E123" s="15" t="s">
        <v>244</v>
      </c>
      <c r="F123" s="16" t="s">
        <v>245</v>
      </c>
      <c r="G123" s="17">
        <v>104.4</v>
      </c>
      <c r="H123" s="15" t="str">
        <f>_xlfn.DISPIMG("ID_DEBEE41D44E6470282A1D24B798DE527",1)</f>
        <v>=DISPIMG("ID_DEBEE41D44E6470282A1D24B798DE527",1)</v>
      </c>
    </row>
    <row r="124" s="2" customFormat="1" customHeight="1" spans="1:8">
      <c r="A124" s="13">
        <v>123</v>
      </c>
      <c r="B124" s="15" t="s">
        <v>225</v>
      </c>
      <c r="C124" s="14" t="s">
        <v>226</v>
      </c>
      <c r="D124" s="16" t="s">
        <v>246</v>
      </c>
      <c r="E124" s="15" t="s">
        <v>247</v>
      </c>
      <c r="F124" s="16" t="s">
        <v>248</v>
      </c>
      <c r="G124" s="17">
        <v>52</v>
      </c>
      <c r="H124" s="15" t="str">
        <f>_xlfn.DISPIMG("ID_E4E5E5904F0B4AA98DD2D1F2AA5D5403",1)</f>
        <v>=DISPIMG("ID_E4E5E5904F0B4AA98DD2D1F2AA5D5403",1)</v>
      </c>
    </row>
    <row r="125" s="2" customFormat="1" customHeight="1" spans="1:8">
      <c r="A125" s="13">
        <v>124</v>
      </c>
      <c r="B125" s="14" t="s">
        <v>225</v>
      </c>
      <c r="C125" s="14" t="s">
        <v>226</v>
      </c>
      <c r="D125" s="16" t="s">
        <v>249</v>
      </c>
      <c r="E125" s="16" t="s">
        <v>247</v>
      </c>
      <c r="F125" s="16" t="s">
        <v>250</v>
      </c>
      <c r="G125" s="31">
        <v>27.8</v>
      </c>
      <c r="H125" s="32" t="str">
        <f>_xlfn.DISPIMG("ID_CD3A45C116074D32B83C3FD16477FCE1",1)</f>
        <v>=DISPIMG("ID_CD3A45C116074D32B83C3FD16477FCE1",1)</v>
      </c>
    </row>
    <row r="126" s="2" customFormat="1" customHeight="1" spans="1:8">
      <c r="A126" s="13">
        <v>125</v>
      </c>
      <c r="B126" s="14" t="s">
        <v>225</v>
      </c>
      <c r="C126" s="14" t="s">
        <v>226</v>
      </c>
      <c r="D126" s="16" t="s">
        <v>249</v>
      </c>
      <c r="E126" s="16" t="s">
        <v>247</v>
      </c>
      <c r="F126" s="16" t="s">
        <v>251</v>
      </c>
      <c r="G126" s="25">
        <v>99.8</v>
      </c>
      <c r="H126" s="16" t="str">
        <f>_xlfn.DISPIMG("ID_E8214059CECF4BF1BC417708A066E6C0",1)</f>
        <v>=DISPIMG("ID_E8214059CECF4BF1BC417708A066E6C0",1)</v>
      </c>
    </row>
    <row r="127" s="2" customFormat="1" customHeight="1" spans="1:8">
      <c r="A127" s="13">
        <v>126</v>
      </c>
      <c r="B127" s="15" t="s">
        <v>225</v>
      </c>
      <c r="C127" s="14" t="s">
        <v>226</v>
      </c>
      <c r="D127" s="16" t="s">
        <v>252</v>
      </c>
      <c r="E127" s="15" t="s">
        <v>253</v>
      </c>
      <c r="F127" s="16" t="s">
        <v>248</v>
      </c>
      <c r="G127" s="17">
        <v>11.9666666666667</v>
      </c>
      <c r="H127" s="15" t="str">
        <f>_xlfn.DISPIMG("ID_53F8C6B991C64E599F55A70FB732D4DF",1)</f>
        <v>=DISPIMG("ID_53F8C6B991C64E599F55A70FB732D4DF",1)</v>
      </c>
    </row>
    <row r="128" s="2" customFormat="1" customHeight="1" spans="1:8">
      <c r="A128" s="13">
        <v>127</v>
      </c>
      <c r="B128" s="15" t="s">
        <v>225</v>
      </c>
      <c r="C128" s="14" t="s">
        <v>226</v>
      </c>
      <c r="D128" s="16" t="s">
        <v>254</v>
      </c>
      <c r="E128" s="15" t="s">
        <v>253</v>
      </c>
      <c r="F128" s="16" t="s">
        <v>248</v>
      </c>
      <c r="G128" s="17">
        <v>12.9</v>
      </c>
      <c r="H128" s="15" t="str">
        <f>_xlfn.DISPIMG("ID_2A10592BF7D3405CBA239984C1F597E7",1)</f>
        <v>=DISPIMG("ID_2A10592BF7D3405CBA239984C1F597E7",1)</v>
      </c>
    </row>
    <row r="129" s="2" customFormat="1" customHeight="1" spans="1:8">
      <c r="A129" s="13">
        <v>128</v>
      </c>
      <c r="B129" s="15" t="s">
        <v>225</v>
      </c>
      <c r="C129" s="14" t="s">
        <v>255</v>
      </c>
      <c r="D129" s="16" t="s">
        <v>256</v>
      </c>
      <c r="E129" s="15" t="s">
        <v>257</v>
      </c>
      <c r="F129" s="16" t="s">
        <v>258</v>
      </c>
      <c r="G129" s="17">
        <v>15.41</v>
      </c>
      <c r="H129" s="15" t="str">
        <f>_xlfn.DISPIMG("ID_5A547F85E47E40ACACAAF63FD1661902",1)</f>
        <v>=DISPIMG("ID_5A547F85E47E40ACACAAF63FD1661902",1)</v>
      </c>
    </row>
    <row r="130" s="2" customFormat="1" customHeight="1" spans="1:8">
      <c r="A130" s="13">
        <v>129</v>
      </c>
      <c r="B130" s="15" t="s">
        <v>225</v>
      </c>
      <c r="C130" s="14" t="s">
        <v>255</v>
      </c>
      <c r="D130" s="16" t="s">
        <v>259</v>
      </c>
      <c r="E130" s="15" t="s">
        <v>260</v>
      </c>
      <c r="F130" s="16" t="s">
        <v>261</v>
      </c>
      <c r="G130" s="17">
        <v>120</v>
      </c>
      <c r="H130" s="15" t="str">
        <f>_xlfn.DISPIMG("ID_28F38B43C790496ABD4359BD4CDD1FD3",1)</f>
        <v>=DISPIMG("ID_28F38B43C790496ABD4359BD4CDD1FD3",1)</v>
      </c>
    </row>
    <row r="131" s="2" customFormat="1" customHeight="1" spans="1:8">
      <c r="A131" s="13">
        <v>130</v>
      </c>
      <c r="B131" s="15" t="s">
        <v>225</v>
      </c>
      <c r="C131" s="14" t="s">
        <v>255</v>
      </c>
      <c r="D131" s="16" t="s">
        <v>262</v>
      </c>
      <c r="E131" s="15" t="s">
        <v>260</v>
      </c>
      <c r="F131" s="16" t="s">
        <v>261</v>
      </c>
      <c r="G131" s="17">
        <v>125</v>
      </c>
      <c r="H131" s="15" t="str">
        <f>_xlfn.DISPIMG("ID_B90B2AB1C2BF4A0A9A1AA51A13B7CD60",1)</f>
        <v>=DISPIMG("ID_B90B2AB1C2BF4A0A9A1AA51A13B7CD60",1)</v>
      </c>
    </row>
    <row r="132" s="2" customFormat="1" customHeight="1" spans="1:8">
      <c r="A132" s="13">
        <v>131</v>
      </c>
      <c r="B132" s="15" t="s">
        <v>225</v>
      </c>
      <c r="C132" s="14" t="s">
        <v>255</v>
      </c>
      <c r="D132" s="15" t="s">
        <v>263</v>
      </c>
      <c r="E132" s="15" t="s">
        <v>260</v>
      </c>
      <c r="F132" s="16" t="s">
        <v>261</v>
      </c>
      <c r="G132" s="17">
        <v>120</v>
      </c>
      <c r="H132" s="15" t="str">
        <f>_xlfn.DISPIMG("ID_16669D1A071A4B5188502582D112674C",1)</f>
        <v>=DISPIMG("ID_16669D1A071A4B5188502582D112674C",1)</v>
      </c>
    </row>
    <row r="133" s="2" customFormat="1" customHeight="1" spans="1:8">
      <c r="A133" s="13">
        <v>132</v>
      </c>
      <c r="B133" s="15" t="s">
        <v>225</v>
      </c>
      <c r="C133" s="14" t="s">
        <v>255</v>
      </c>
      <c r="D133" s="16" t="s">
        <v>264</v>
      </c>
      <c r="E133" s="15" t="s">
        <v>260</v>
      </c>
      <c r="F133" s="16" t="s">
        <v>261</v>
      </c>
      <c r="G133" s="17">
        <v>125</v>
      </c>
      <c r="H133" s="15" t="str">
        <f>_xlfn.DISPIMG("ID_5B89FCEB3D9B4941AFB0988FC4E24561",1)</f>
        <v>=DISPIMG("ID_5B89FCEB3D9B4941AFB0988FC4E24561",1)</v>
      </c>
    </row>
    <row r="134" s="2" customFormat="1" customHeight="1" spans="1:8">
      <c r="A134" s="13">
        <v>133</v>
      </c>
      <c r="B134" s="15" t="s">
        <v>225</v>
      </c>
      <c r="C134" s="14" t="s">
        <v>255</v>
      </c>
      <c r="D134" s="16" t="s">
        <v>265</v>
      </c>
      <c r="E134" s="15" t="s">
        <v>260</v>
      </c>
      <c r="F134" s="16" t="s">
        <v>261</v>
      </c>
      <c r="G134" s="17">
        <v>120</v>
      </c>
      <c r="H134" s="15" t="str">
        <f>_xlfn.DISPIMG("ID_A4D18CD46C984229BB3FE9AFF0DA3750",1)</f>
        <v>=DISPIMG("ID_A4D18CD46C984229BB3FE9AFF0DA3750",1)</v>
      </c>
    </row>
    <row r="135" s="2" customFormat="1" customHeight="1" spans="1:8">
      <c r="A135" s="13">
        <v>134</v>
      </c>
      <c r="B135" s="15" t="s">
        <v>225</v>
      </c>
      <c r="C135" s="14" t="s">
        <v>255</v>
      </c>
      <c r="D135" s="16" t="s">
        <v>266</v>
      </c>
      <c r="E135" s="15" t="s">
        <v>267</v>
      </c>
      <c r="F135" s="16" t="s">
        <v>268</v>
      </c>
      <c r="G135" s="17">
        <v>7.93</v>
      </c>
      <c r="H135" s="15" t="str">
        <f>_xlfn.DISPIMG("ID_1F9DFC62138F4DABA51643045C8DCCCB",1)</f>
        <v>=DISPIMG("ID_1F9DFC62138F4DABA51643045C8DCCCB",1)</v>
      </c>
    </row>
    <row r="136" s="2" customFormat="1" customHeight="1" spans="1:8">
      <c r="A136" s="13">
        <v>135</v>
      </c>
      <c r="B136" s="15" t="s">
        <v>225</v>
      </c>
      <c r="C136" s="14" t="s">
        <v>255</v>
      </c>
      <c r="D136" s="15" t="s">
        <v>266</v>
      </c>
      <c r="E136" s="15" t="s">
        <v>269</v>
      </c>
      <c r="F136" s="16" t="s">
        <v>270</v>
      </c>
      <c r="G136" s="25">
        <v>175</v>
      </c>
      <c r="H136" s="16" t="str">
        <f>_xlfn.DISPIMG("ID_B7D84E63401142DB8D7AA5939A103E02",1)</f>
        <v>=DISPIMG("ID_B7D84E63401142DB8D7AA5939A103E02",1)</v>
      </c>
    </row>
    <row r="137" s="2" customFormat="1" customHeight="1" spans="1:8">
      <c r="A137" s="13">
        <v>136</v>
      </c>
      <c r="B137" s="15" t="s">
        <v>225</v>
      </c>
      <c r="C137" s="14" t="s">
        <v>255</v>
      </c>
      <c r="D137" s="15" t="s">
        <v>271</v>
      </c>
      <c r="E137" s="15" t="s">
        <v>272</v>
      </c>
      <c r="F137" s="16" t="s">
        <v>273</v>
      </c>
      <c r="G137" s="17">
        <v>9.45</v>
      </c>
      <c r="H137" s="15" t="str">
        <f>_xlfn.DISPIMG("ID_08F52FC3CE424DE88438C60DEB5C545C",1)</f>
        <v>=DISPIMG("ID_08F52FC3CE424DE88438C60DEB5C545C",1)</v>
      </c>
    </row>
    <row r="138" s="2" customFormat="1" customHeight="1" spans="1:8">
      <c r="A138" s="13">
        <v>137</v>
      </c>
      <c r="B138" s="15" t="s">
        <v>225</v>
      </c>
      <c r="C138" s="14" t="s">
        <v>255</v>
      </c>
      <c r="D138" s="15" t="s">
        <v>271</v>
      </c>
      <c r="E138" s="15" t="s">
        <v>272</v>
      </c>
      <c r="F138" s="16" t="s">
        <v>274</v>
      </c>
      <c r="G138" s="17">
        <v>265</v>
      </c>
      <c r="H138" s="15" t="str">
        <f>_xlfn.DISPIMG("ID_23B4DE0E414E41EB9EB2BC9491154449",1)</f>
        <v>=DISPIMG("ID_23B4DE0E414E41EB9EB2BC9491154449",1)</v>
      </c>
    </row>
    <row r="139" s="2" customFormat="1" customHeight="1" spans="1:8">
      <c r="A139" s="13">
        <v>138</v>
      </c>
      <c r="B139" s="14" t="s">
        <v>225</v>
      </c>
      <c r="C139" s="14" t="s">
        <v>255</v>
      </c>
      <c r="D139" s="15" t="s">
        <v>275</v>
      </c>
      <c r="E139" s="15" t="s">
        <v>276</v>
      </c>
      <c r="F139" s="16" t="s">
        <v>277</v>
      </c>
      <c r="G139" s="17">
        <v>22.9</v>
      </c>
      <c r="H139" s="15" t="str">
        <f>_xlfn.DISPIMG("ID_98B7FA543C6B4345A421D42CCD440756",1)</f>
        <v>=DISPIMG("ID_98B7FA543C6B4345A421D42CCD440756",1)</v>
      </c>
    </row>
    <row r="140" s="2" customFormat="1" customHeight="1" spans="1:8">
      <c r="A140" s="13">
        <v>139</v>
      </c>
      <c r="B140" s="15" t="s">
        <v>225</v>
      </c>
      <c r="C140" s="14" t="s">
        <v>255</v>
      </c>
      <c r="D140" s="16" t="s">
        <v>278</v>
      </c>
      <c r="E140" s="15" t="s">
        <v>276</v>
      </c>
      <c r="F140" s="16" t="s">
        <v>279</v>
      </c>
      <c r="G140" s="17">
        <v>8.56666666666667</v>
      </c>
      <c r="H140" s="15" t="str">
        <f>_xlfn.DISPIMG("ID_B2ED06E1A69B491AB0C97423E38D69CA",1)</f>
        <v>=DISPIMG("ID_B2ED06E1A69B491AB0C97423E38D69CA",1)</v>
      </c>
    </row>
    <row r="141" s="2" customFormat="1" customHeight="1" spans="1:8">
      <c r="A141" s="13">
        <v>140</v>
      </c>
      <c r="B141" s="15" t="s">
        <v>225</v>
      </c>
      <c r="C141" s="14" t="s">
        <v>255</v>
      </c>
      <c r="D141" s="16" t="s">
        <v>280</v>
      </c>
      <c r="E141" s="15" t="s">
        <v>276</v>
      </c>
      <c r="F141" s="16" t="s">
        <v>281</v>
      </c>
      <c r="G141" s="31">
        <v>7.6</v>
      </c>
      <c r="H141" s="32" t="str">
        <f>_xlfn.DISPIMG("ID_ABA588671E1D4ACC8FBD22224F2276D6",1)</f>
        <v>=DISPIMG("ID_ABA588671E1D4ACC8FBD22224F2276D6",1)</v>
      </c>
    </row>
    <row r="142" s="2" customFormat="1" customHeight="1" spans="1:8">
      <c r="A142" s="13">
        <v>141</v>
      </c>
      <c r="B142" s="15" t="s">
        <v>225</v>
      </c>
      <c r="C142" s="14" t="s">
        <v>255</v>
      </c>
      <c r="D142" s="15" t="s">
        <v>282</v>
      </c>
      <c r="E142" s="15" t="s">
        <v>283</v>
      </c>
      <c r="F142" s="16" t="s">
        <v>284</v>
      </c>
      <c r="G142" s="25">
        <v>260</v>
      </c>
      <c r="H142" s="16" t="str">
        <f>_xlfn.DISPIMG("ID_90AF487051BC48A3AADBDFBF328A669A",1)</f>
        <v>=DISPIMG("ID_90AF487051BC48A3AADBDFBF328A669A",1)</v>
      </c>
    </row>
    <row r="143" s="2" customFormat="1" customHeight="1" spans="1:8">
      <c r="A143" s="13">
        <v>142</v>
      </c>
      <c r="B143" s="15" t="s">
        <v>225</v>
      </c>
      <c r="C143" s="14" t="s">
        <v>255</v>
      </c>
      <c r="D143" s="15" t="s">
        <v>275</v>
      </c>
      <c r="E143" s="15" t="s">
        <v>283</v>
      </c>
      <c r="F143" s="16" t="s">
        <v>285</v>
      </c>
      <c r="G143" s="25">
        <v>360</v>
      </c>
      <c r="H143" s="16" t="str">
        <f>_xlfn.DISPIMG("ID_F24D5EB02F69445CAC9CB4C8597C7A12",1)</f>
        <v>=DISPIMG("ID_F24D5EB02F69445CAC9CB4C8597C7A12",1)</v>
      </c>
    </row>
    <row r="144" s="2" customFormat="1" customHeight="1" spans="1:8">
      <c r="A144" s="13">
        <v>143</v>
      </c>
      <c r="B144" s="15" t="s">
        <v>225</v>
      </c>
      <c r="C144" s="14" t="s">
        <v>255</v>
      </c>
      <c r="D144" s="15" t="s">
        <v>278</v>
      </c>
      <c r="E144" s="15" t="s">
        <v>283</v>
      </c>
      <c r="F144" s="16" t="s">
        <v>286</v>
      </c>
      <c r="G144" s="25">
        <v>248</v>
      </c>
      <c r="H144" s="16" t="str">
        <f>_xlfn.DISPIMG("ID_448555676F154E7CB394460F0234CF6C",1)</f>
        <v>=DISPIMG("ID_448555676F154E7CB394460F0234CF6C",1)</v>
      </c>
    </row>
    <row r="145" s="2" customFormat="1" customHeight="1" spans="1:8">
      <c r="A145" s="13">
        <v>144</v>
      </c>
      <c r="B145" s="15" t="s">
        <v>225</v>
      </c>
      <c r="C145" s="14" t="s">
        <v>255</v>
      </c>
      <c r="D145" s="16" t="s">
        <v>287</v>
      </c>
      <c r="E145" s="15" t="s">
        <v>288</v>
      </c>
      <c r="F145" s="16" t="s">
        <v>289</v>
      </c>
      <c r="G145" s="17">
        <v>235</v>
      </c>
      <c r="H145" s="15" t="str">
        <f>_xlfn.DISPIMG("ID_F2ED3C4F75BC42C1835E71C66C206434",1)</f>
        <v>=DISPIMG("ID_F2ED3C4F75BC42C1835E71C66C206434",1)</v>
      </c>
    </row>
    <row r="146" s="2" customFormat="1" customHeight="1" spans="1:8">
      <c r="A146" s="13">
        <v>145</v>
      </c>
      <c r="B146" s="15" t="s">
        <v>225</v>
      </c>
      <c r="C146" s="14" t="s">
        <v>255</v>
      </c>
      <c r="D146" s="16" t="s">
        <v>287</v>
      </c>
      <c r="E146" s="15" t="s">
        <v>288</v>
      </c>
      <c r="F146" s="16" t="s">
        <v>290</v>
      </c>
      <c r="G146" s="17">
        <v>10</v>
      </c>
      <c r="H146" s="15" t="str">
        <f>_xlfn.DISPIMG("ID_010C89052F4045C5B668E9065AC71D33",1)</f>
        <v>=DISPIMG("ID_010C89052F4045C5B668E9065AC71D33",1)</v>
      </c>
    </row>
    <row r="147" s="2" customFormat="1" customHeight="1" spans="1:8">
      <c r="A147" s="13">
        <v>146</v>
      </c>
      <c r="B147" s="15" t="s">
        <v>225</v>
      </c>
      <c r="C147" s="14" t="s">
        <v>255</v>
      </c>
      <c r="D147" s="16" t="s">
        <v>291</v>
      </c>
      <c r="E147" s="15" t="s">
        <v>260</v>
      </c>
      <c r="F147" s="16" t="s">
        <v>261</v>
      </c>
      <c r="G147" s="17">
        <v>183.87</v>
      </c>
      <c r="H147" s="15" t="str">
        <f>_xlfn.DISPIMG("ID_00B1A7CE861245D7B2D0123E85FDF718",1)</f>
        <v>=DISPIMG("ID_00B1A7CE861245D7B2D0123E85FDF718",1)</v>
      </c>
    </row>
    <row r="148" s="2" customFormat="1" customHeight="1" spans="1:8">
      <c r="A148" s="13">
        <v>147</v>
      </c>
      <c r="B148" s="14" t="s">
        <v>225</v>
      </c>
      <c r="C148" s="14" t="s">
        <v>255</v>
      </c>
      <c r="D148" s="16" t="s">
        <v>292</v>
      </c>
      <c r="E148" s="16" t="s">
        <v>293</v>
      </c>
      <c r="F148" s="16" t="s">
        <v>261</v>
      </c>
      <c r="G148" s="31">
        <v>195</v>
      </c>
      <c r="H148" s="32" t="str">
        <f>_xlfn.DISPIMG("ID_C0F41AD3122C49D4AE1086754C72745E",1)</f>
        <v>=DISPIMG("ID_C0F41AD3122C49D4AE1086754C72745E",1)</v>
      </c>
    </row>
    <row r="149" s="2" customFormat="1" customHeight="1" spans="1:8">
      <c r="A149" s="13">
        <v>148</v>
      </c>
      <c r="B149" s="15" t="s">
        <v>225</v>
      </c>
      <c r="C149" s="14" t="s">
        <v>294</v>
      </c>
      <c r="D149" s="15" t="s">
        <v>295</v>
      </c>
      <c r="E149" s="15" t="s">
        <v>296</v>
      </c>
      <c r="F149" s="16" t="s">
        <v>297</v>
      </c>
      <c r="G149" s="17">
        <v>30.9</v>
      </c>
      <c r="H149" s="15" t="str">
        <f>_xlfn.DISPIMG("ID_51EAB1F2C32F44F0A4CED1D63745A20F",1)</f>
        <v>=DISPIMG("ID_51EAB1F2C32F44F0A4CED1D63745A20F",1)</v>
      </c>
    </row>
    <row r="150" s="2" customFormat="1" customHeight="1" spans="1:8">
      <c r="A150" s="13">
        <v>149</v>
      </c>
      <c r="B150" s="15" t="s">
        <v>225</v>
      </c>
      <c r="C150" s="14" t="s">
        <v>294</v>
      </c>
      <c r="D150" s="16" t="s">
        <v>298</v>
      </c>
      <c r="E150" s="15" t="s">
        <v>299</v>
      </c>
      <c r="F150" s="16" t="s">
        <v>242</v>
      </c>
      <c r="G150" s="31">
        <v>25.9</v>
      </c>
      <c r="H150" s="32" t="str">
        <f>_xlfn.DISPIMG("ID_F9C7534AF8A348FAB6ECC90C10A66477",1)</f>
        <v>=DISPIMG("ID_F9C7534AF8A348FAB6ECC90C10A66477",1)</v>
      </c>
    </row>
    <row r="151" s="2" customFormat="1" customHeight="1" spans="1:8">
      <c r="A151" s="13">
        <v>150</v>
      </c>
      <c r="B151" s="15" t="s">
        <v>225</v>
      </c>
      <c r="C151" s="14" t="s">
        <v>294</v>
      </c>
      <c r="D151" s="16" t="s">
        <v>298</v>
      </c>
      <c r="E151" s="15" t="s">
        <v>299</v>
      </c>
      <c r="F151" s="16" t="s">
        <v>12</v>
      </c>
      <c r="G151" s="17">
        <v>180</v>
      </c>
      <c r="H151" s="15" t="str">
        <f>_xlfn.DISPIMG("ID_5A762B43A72E47C29F74B91B6B8A436B",1)</f>
        <v>=DISPIMG("ID_5A762B43A72E47C29F74B91B6B8A436B",1)</v>
      </c>
    </row>
    <row r="152" s="5" customFormat="1" customHeight="1" spans="1:8">
      <c r="A152" s="13">
        <v>151</v>
      </c>
      <c r="B152" s="27" t="s">
        <v>225</v>
      </c>
      <c r="C152" s="29" t="s">
        <v>294</v>
      </c>
      <c r="D152" s="27" t="s">
        <v>300</v>
      </c>
      <c r="E152" s="26" t="s">
        <v>14</v>
      </c>
      <c r="F152" s="27" t="s">
        <v>301</v>
      </c>
      <c r="G152" s="33">
        <v>270</v>
      </c>
      <c r="H152" s="27"/>
    </row>
    <row r="153" s="5" customFormat="1" customHeight="1" spans="1:8">
      <c r="A153" s="13">
        <v>152</v>
      </c>
      <c r="B153" s="27" t="s">
        <v>225</v>
      </c>
      <c r="C153" s="29" t="s">
        <v>294</v>
      </c>
      <c r="D153" s="27" t="s">
        <v>302</v>
      </c>
      <c r="E153" s="26" t="s">
        <v>303</v>
      </c>
      <c r="F153" s="27" t="s">
        <v>304</v>
      </c>
      <c r="G153" s="33">
        <v>4.5</v>
      </c>
      <c r="H153" s="27"/>
    </row>
    <row r="154" s="5" customFormat="1" customHeight="1" spans="1:8">
      <c r="A154" s="13">
        <v>153</v>
      </c>
      <c r="B154" s="27" t="s">
        <v>225</v>
      </c>
      <c r="C154" s="29" t="s">
        <v>294</v>
      </c>
      <c r="D154" s="27" t="s">
        <v>305</v>
      </c>
      <c r="E154" s="26" t="s">
        <v>306</v>
      </c>
      <c r="F154" s="27" t="s">
        <v>12</v>
      </c>
      <c r="G154" s="33">
        <v>85</v>
      </c>
      <c r="H154" s="27"/>
    </row>
    <row r="155" s="2" customFormat="1" customHeight="1" spans="1:8">
      <c r="A155" s="13">
        <v>154</v>
      </c>
      <c r="B155" s="16" t="s">
        <v>225</v>
      </c>
      <c r="C155" s="14" t="s">
        <v>307</v>
      </c>
      <c r="D155" s="16" t="s">
        <v>308</v>
      </c>
      <c r="E155" s="15" t="s">
        <v>237</v>
      </c>
      <c r="F155" s="16" t="s">
        <v>309</v>
      </c>
      <c r="G155" s="25">
        <v>98</v>
      </c>
      <c r="H155" s="16" t="str">
        <f>_xlfn.DISPIMG("ID_9070417F480142EC9A891E92BA5E72E0",1)</f>
        <v>=DISPIMG("ID_9070417F480142EC9A891E92BA5E72E0",1)</v>
      </c>
    </row>
    <row r="156" s="2" customFormat="1" customHeight="1" spans="1:8">
      <c r="A156" s="13">
        <v>155</v>
      </c>
      <c r="B156" s="15" t="s">
        <v>225</v>
      </c>
      <c r="C156" s="14" t="s">
        <v>307</v>
      </c>
      <c r="D156" s="16" t="s">
        <v>308</v>
      </c>
      <c r="E156" s="15" t="s">
        <v>237</v>
      </c>
      <c r="F156" s="16" t="s">
        <v>310</v>
      </c>
      <c r="G156" s="17">
        <v>35</v>
      </c>
      <c r="H156" s="15" t="str">
        <f>_xlfn.DISPIMG("ID_B89928358DFD480D9634BECACE7EC209",1)</f>
        <v>=DISPIMG("ID_B89928358DFD480D9634BECACE7EC209",1)</v>
      </c>
    </row>
    <row r="157" s="2" customFormat="1" customHeight="1" spans="1:8">
      <c r="A157" s="13">
        <v>156</v>
      </c>
      <c r="B157" s="15" t="s">
        <v>225</v>
      </c>
      <c r="C157" s="14" t="s">
        <v>307</v>
      </c>
      <c r="D157" s="16" t="s">
        <v>311</v>
      </c>
      <c r="E157" s="15" t="s">
        <v>237</v>
      </c>
      <c r="F157" s="16" t="s">
        <v>312</v>
      </c>
      <c r="G157" s="17">
        <v>39.8</v>
      </c>
      <c r="H157" s="15" t="str">
        <f>_xlfn.DISPIMG("ID_ECE6E3B4C3EA4157B8AFD3BBA3320ABD",1)</f>
        <v>=DISPIMG("ID_ECE6E3B4C3EA4157B8AFD3BBA3320ABD",1)</v>
      </c>
    </row>
    <row r="158" s="2" customFormat="1" customHeight="1" spans="1:8">
      <c r="A158" s="13">
        <v>157</v>
      </c>
      <c r="B158" s="15" t="s">
        <v>225</v>
      </c>
      <c r="C158" s="14" t="s">
        <v>307</v>
      </c>
      <c r="D158" s="16" t="s">
        <v>311</v>
      </c>
      <c r="E158" s="15" t="s">
        <v>237</v>
      </c>
      <c r="F158" s="16" t="s">
        <v>313</v>
      </c>
      <c r="G158" s="17">
        <v>230</v>
      </c>
      <c r="H158" s="15" t="str">
        <f>_xlfn.DISPIMG("ID_FECC6D2D46FF4A6FAD91017E0EE7227B",1)</f>
        <v>=DISPIMG("ID_FECC6D2D46FF4A6FAD91017E0EE7227B",1)</v>
      </c>
    </row>
    <row r="159" s="2" customFormat="1" customHeight="1" spans="1:8">
      <c r="A159" s="13">
        <v>158</v>
      </c>
      <c r="B159" s="15" t="s">
        <v>225</v>
      </c>
      <c r="C159" s="14" t="s">
        <v>307</v>
      </c>
      <c r="D159" s="16" t="s">
        <v>314</v>
      </c>
      <c r="E159" s="15" t="s">
        <v>315</v>
      </c>
      <c r="F159" s="16" t="s">
        <v>169</v>
      </c>
      <c r="G159" s="17">
        <v>110</v>
      </c>
      <c r="H159" s="15" t="str">
        <f>_xlfn.DISPIMG("ID_42856547A65D47699481F242547723C0",1)</f>
        <v>=DISPIMG("ID_42856547A65D47699481F242547723C0",1)</v>
      </c>
    </row>
    <row r="160" s="2" customFormat="1" customHeight="1" spans="1:8">
      <c r="A160" s="13">
        <v>159</v>
      </c>
      <c r="B160" s="14" t="s">
        <v>225</v>
      </c>
      <c r="C160" s="14" t="s">
        <v>307</v>
      </c>
      <c r="D160" s="15" t="s">
        <v>316</v>
      </c>
      <c r="E160" s="15" t="s">
        <v>316</v>
      </c>
      <c r="F160" s="16" t="s">
        <v>169</v>
      </c>
      <c r="G160" s="17">
        <v>108</v>
      </c>
      <c r="H160" s="15" t="str">
        <f>_xlfn.DISPIMG("ID_F4C27FB3028E4AECB895CC08F533694B",1)</f>
        <v>=DISPIMG("ID_F4C27FB3028E4AECB895CC08F533694B",1)</v>
      </c>
    </row>
    <row r="161" s="2" customFormat="1" customHeight="1" spans="1:8">
      <c r="A161" s="13">
        <v>160</v>
      </c>
      <c r="B161" s="15" t="s">
        <v>225</v>
      </c>
      <c r="C161" s="14" t="s">
        <v>307</v>
      </c>
      <c r="D161" s="34" t="s">
        <v>317</v>
      </c>
      <c r="E161" s="15" t="s">
        <v>318</v>
      </c>
      <c r="F161" s="35" t="s">
        <v>319</v>
      </c>
      <c r="G161" s="25">
        <v>30</v>
      </c>
      <c r="H161" s="16"/>
    </row>
    <row r="162" s="2" customFormat="1" customHeight="1" spans="1:8">
      <c r="A162" s="13">
        <v>161</v>
      </c>
      <c r="B162" s="15" t="s">
        <v>320</v>
      </c>
      <c r="C162" s="14" t="s">
        <v>321</v>
      </c>
      <c r="D162" s="16" t="s">
        <v>322</v>
      </c>
      <c r="E162" s="16"/>
      <c r="F162" s="16" t="s">
        <v>85</v>
      </c>
      <c r="G162" s="17">
        <v>6</v>
      </c>
      <c r="H162" s="15" t="str">
        <f>_xlfn.DISPIMG("ID_74404927618147A9A77A083E2BD47CF7",1)</f>
        <v>=DISPIMG("ID_74404927618147A9A77A083E2BD47CF7",1)</v>
      </c>
    </row>
    <row r="163" s="2" customFormat="1" customHeight="1" spans="1:8">
      <c r="A163" s="13">
        <v>162</v>
      </c>
      <c r="B163" s="15" t="s">
        <v>225</v>
      </c>
      <c r="C163" s="14" t="s">
        <v>307</v>
      </c>
      <c r="D163" s="16" t="s">
        <v>323</v>
      </c>
      <c r="E163" s="16" t="s">
        <v>247</v>
      </c>
      <c r="F163" s="16" t="s">
        <v>310</v>
      </c>
      <c r="G163" s="25">
        <v>25</v>
      </c>
      <c r="H163" s="16" t="str">
        <f>_xlfn.DISPIMG("ID_6EF97402341B4103A50759A6AB239BC3",1)</f>
        <v>=DISPIMG("ID_6EF97402341B4103A50759A6AB239BC3",1)</v>
      </c>
    </row>
    <row r="164" s="2" customFormat="1" customHeight="1" spans="1:8">
      <c r="A164" s="13">
        <v>163</v>
      </c>
      <c r="B164" s="15" t="s">
        <v>225</v>
      </c>
      <c r="C164" s="14" t="s">
        <v>307</v>
      </c>
      <c r="D164" s="16" t="s">
        <v>323</v>
      </c>
      <c r="E164" s="16" t="s">
        <v>247</v>
      </c>
      <c r="F164" s="16" t="s">
        <v>324</v>
      </c>
      <c r="G164" s="25">
        <v>400</v>
      </c>
      <c r="H164" s="16"/>
    </row>
    <row r="165" s="5" customFormat="1" customHeight="1" spans="1:8">
      <c r="A165" s="13">
        <v>164</v>
      </c>
      <c r="B165" s="29" t="s">
        <v>225</v>
      </c>
      <c r="C165" s="29" t="s">
        <v>307</v>
      </c>
      <c r="D165" s="26" t="s">
        <v>325</v>
      </c>
      <c r="E165" s="26" t="s">
        <v>326</v>
      </c>
      <c r="F165" s="27" t="s">
        <v>169</v>
      </c>
      <c r="G165" s="28">
        <v>50</v>
      </c>
      <c r="H165" s="26"/>
    </row>
    <row r="166" s="2" customFormat="1" customHeight="1" spans="1:8">
      <c r="A166" s="13">
        <v>165</v>
      </c>
      <c r="B166" s="14" t="s">
        <v>225</v>
      </c>
      <c r="C166" s="14" t="s">
        <v>327</v>
      </c>
      <c r="D166" s="15" t="s">
        <v>328</v>
      </c>
      <c r="E166" s="15" t="s">
        <v>329</v>
      </c>
      <c r="F166" s="16" t="s">
        <v>330</v>
      </c>
      <c r="G166" s="17">
        <v>19</v>
      </c>
      <c r="H166" s="15" t="str">
        <f>_xlfn.DISPIMG("ID_CF9E1C813DFF49E7BA5E0E3EE79BE8CF",1)</f>
        <v>=DISPIMG("ID_CF9E1C813DFF49E7BA5E0E3EE79BE8CF",1)</v>
      </c>
    </row>
    <row r="167" s="2" customFormat="1" customHeight="1" spans="1:8">
      <c r="A167" s="13">
        <v>166</v>
      </c>
      <c r="B167" s="14" t="s">
        <v>225</v>
      </c>
      <c r="C167" s="14" t="s">
        <v>327</v>
      </c>
      <c r="D167" s="16" t="s">
        <v>331</v>
      </c>
      <c r="E167" s="16" t="s">
        <v>329</v>
      </c>
      <c r="F167" s="16" t="s">
        <v>332</v>
      </c>
      <c r="G167" s="25">
        <v>155</v>
      </c>
      <c r="H167" s="16" t="str">
        <f>_xlfn.DISPIMG("ID_074DEE4A6B134E0FBF197106E957AE3E",1)</f>
        <v>=DISPIMG("ID_074DEE4A6B134E0FBF197106E957AE3E",1)</v>
      </c>
    </row>
    <row r="168" s="2" customFormat="1" customHeight="1" spans="1:8">
      <c r="A168" s="13">
        <v>167</v>
      </c>
      <c r="B168" s="15" t="s">
        <v>225</v>
      </c>
      <c r="C168" s="14" t="s">
        <v>327</v>
      </c>
      <c r="D168" s="16" t="s">
        <v>333</v>
      </c>
      <c r="E168" s="15" t="s">
        <v>334</v>
      </c>
      <c r="F168" s="16" t="s">
        <v>335</v>
      </c>
      <c r="G168" s="17">
        <v>8</v>
      </c>
      <c r="H168" s="15" t="str">
        <f>_xlfn.DISPIMG("ID_8693EE1F7669428DADF716286595788E",1)</f>
        <v>=DISPIMG("ID_8693EE1F7669428DADF716286595788E",1)</v>
      </c>
    </row>
    <row r="169" s="2" customFormat="1" customHeight="1" spans="1:8">
      <c r="A169" s="13">
        <v>168</v>
      </c>
      <c r="B169" s="14" t="s">
        <v>225</v>
      </c>
      <c r="C169" s="14" t="s">
        <v>327</v>
      </c>
      <c r="D169" s="14" t="s">
        <v>336</v>
      </c>
      <c r="E169" s="15" t="s">
        <v>337</v>
      </c>
      <c r="F169" s="16" t="s">
        <v>338</v>
      </c>
      <c r="G169" s="17">
        <v>12</v>
      </c>
      <c r="H169" s="15" t="str">
        <f>_xlfn.DISPIMG("ID_FA0C537D5C5F4145B86A1808A6B9D914",1)</f>
        <v>=DISPIMG("ID_FA0C537D5C5F4145B86A1808A6B9D914",1)</v>
      </c>
    </row>
    <row r="170" s="2" customFormat="1" customHeight="1" spans="1:8">
      <c r="A170" s="13">
        <v>169</v>
      </c>
      <c r="B170" s="14" t="s">
        <v>225</v>
      </c>
      <c r="C170" s="14" t="s">
        <v>327</v>
      </c>
      <c r="D170" s="15" t="s">
        <v>336</v>
      </c>
      <c r="E170" s="15" t="s">
        <v>337</v>
      </c>
      <c r="F170" s="16" t="s">
        <v>339</v>
      </c>
      <c r="G170" s="17">
        <v>120</v>
      </c>
      <c r="H170" s="15" t="str">
        <f>_xlfn.DISPIMG("ID_4F7D717EFCA84564B1858A1829531B78",1)</f>
        <v>=DISPIMG("ID_4F7D717EFCA84564B1858A1829531B78",1)</v>
      </c>
    </row>
    <row r="171" s="2" customFormat="1" customHeight="1" spans="1:8">
      <c r="A171" s="13">
        <v>170</v>
      </c>
      <c r="B171" s="14" t="s">
        <v>225</v>
      </c>
      <c r="C171" s="14" t="s">
        <v>327</v>
      </c>
      <c r="D171" s="16" t="s">
        <v>340</v>
      </c>
      <c r="E171" s="15" t="s">
        <v>231</v>
      </c>
      <c r="F171" s="16" t="s">
        <v>341</v>
      </c>
      <c r="G171" s="17">
        <v>65</v>
      </c>
      <c r="H171" s="15" t="str">
        <f>_xlfn.DISPIMG("ID_3BE0771A901D401897AFBC05F35D9F36",1)</f>
        <v>=DISPIMG("ID_3BE0771A901D401897AFBC05F35D9F36",1)</v>
      </c>
    </row>
    <row r="172" s="2" customFormat="1" customHeight="1" spans="1:8">
      <c r="A172" s="13">
        <v>171</v>
      </c>
      <c r="B172" s="14" t="s">
        <v>225</v>
      </c>
      <c r="C172" s="14" t="s">
        <v>327</v>
      </c>
      <c r="D172" s="15" t="s">
        <v>342</v>
      </c>
      <c r="E172" s="15" t="s">
        <v>237</v>
      </c>
      <c r="F172" s="16" t="s">
        <v>341</v>
      </c>
      <c r="G172" s="17">
        <v>75</v>
      </c>
      <c r="H172" s="15" t="str">
        <f>_xlfn.DISPIMG("ID_F20132FE812346C4939ED9AED1158D32",1)</f>
        <v>=DISPIMG("ID_F20132FE812346C4939ED9AED1158D32",1)</v>
      </c>
    </row>
    <row r="173" s="2" customFormat="1" customHeight="1" spans="1:8">
      <c r="A173" s="13">
        <v>172</v>
      </c>
      <c r="B173" s="15" t="s">
        <v>225</v>
      </c>
      <c r="C173" s="14" t="s">
        <v>327</v>
      </c>
      <c r="D173" s="16" t="s">
        <v>343</v>
      </c>
      <c r="E173" s="15" t="s">
        <v>237</v>
      </c>
      <c r="F173" s="16" t="s">
        <v>344</v>
      </c>
      <c r="G173" s="17">
        <v>9.8</v>
      </c>
      <c r="H173" s="15" t="str">
        <f>_xlfn.DISPIMG("ID_E0503656E5E948F0BA6D37420169FE52",1)</f>
        <v>=DISPIMG("ID_E0503656E5E948F0BA6D37420169FE52",1)</v>
      </c>
    </row>
    <row r="174" s="2" customFormat="1" customHeight="1" spans="1:8">
      <c r="A174" s="13">
        <v>173</v>
      </c>
      <c r="B174" s="15" t="s">
        <v>225</v>
      </c>
      <c r="C174" s="14" t="s">
        <v>327</v>
      </c>
      <c r="D174" s="16" t="s">
        <v>343</v>
      </c>
      <c r="E174" s="15" t="s">
        <v>237</v>
      </c>
      <c r="F174" s="16" t="s">
        <v>310</v>
      </c>
      <c r="G174" s="17">
        <v>25</v>
      </c>
      <c r="H174" s="15" t="str">
        <f>_xlfn.DISPIMG("ID_AB6422D5072348A39C646A3875964AC0",1)</f>
        <v>=DISPIMG("ID_AB6422D5072348A39C646A3875964AC0",1)</v>
      </c>
    </row>
    <row r="175" s="2" customFormat="1" customHeight="1" spans="1:8">
      <c r="A175" s="13">
        <v>174</v>
      </c>
      <c r="B175" s="15" t="s">
        <v>225</v>
      </c>
      <c r="C175" s="14" t="s">
        <v>327</v>
      </c>
      <c r="D175" s="16" t="s">
        <v>343</v>
      </c>
      <c r="E175" s="15" t="s">
        <v>237</v>
      </c>
      <c r="F175" s="16" t="s">
        <v>345</v>
      </c>
      <c r="G175" s="17">
        <v>85</v>
      </c>
      <c r="H175" s="15" t="str">
        <f>_xlfn.DISPIMG("ID_1F23FF9A8F7D4BE7BC4A345CA2F67FBD",1)</f>
        <v>=DISPIMG("ID_1F23FF9A8F7D4BE7BC4A345CA2F67FBD",1)</v>
      </c>
    </row>
    <row r="176" s="2" customFormat="1" customHeight="1" spans="1:8">
      <c r="A176" s="13">
        <v>175</v>
      </c>
      <c r="B176" s="15" t="s">
        <v>225</v>
      </c>
      <c r="C176" s="14" t="s">
        <v>327</v>
      </c>
      <c r="D176" s="16" t="s">
        <v>346</v>
      </c>
      <c r="E176" s="15" t="s">
        <v>347</v>
      </c>
      <c r="F176" s="16" t="s">
        <v>348</v>
      </c>
      <c r="G176" s="17">
        <v>10.35</v>
      </c>
      <c r="H176" s="15" t="str">
        <f>_xlfn.DISPIMG("ID_21BAEF1970414823957DB8F23A1243F1",1)</f>
        <v>=DISPIMG("ID_21BAEF1970414823957DB8F23A1243F1",1)</v>
      </c>
    </row>
    <row r="177" s="2" customFormat="1" customHeight="1" spans="1:8">
      <c r="A177" s="13">
        <v>176</v>
      </c>
      <c r="B177" s="15" t="s">
        <v>225</v>
      </c>
      <c r="C177" s="14" t="s">
        <v>327</v>
      </c>
      <c r="D177" s="16" t="s">
        <v>349</v>
      </c>
      <c r="E177" s="15" t="s">
        <v>350</v>
      </c>
      <c r="F177" s="16" t="s">
        <v>351</v>
      </c>
      <c r="G177" s="17">
        <v>35</v>
      </c>
      <c r="H177" s="15" t="str">
        <f>_xlfn.DISPIMG("ID_59A12C5BD0C4442680523CE5C2DDBA8C",1)</f>
        <v>=DISPIMG("ID_59A12C5BD0C4442680523CE5C2DDBA8C",1)</v>
      </c>
    </row>
    <row r="178" s="2" customFormat="1" customHeight="1" spans="1:8">
      <c r="A178" s="13">
        <v>177</v>
      </c>
      <c r="B178" s="15" t="s">
        <v>225</v>
      </c>
      <c r="C178" s="14" t="s">
        <v>327</v>
      </c>
      <c r="D178" s="16" t="s">
        <v>352</v>
      </c>
      <c r="E178" s="15" t="s">
        <v>350</v>
      </c>
      <c r="F178" s="16" t="s">
        <v>353</v>
      </c>
      <c r="G178" s="17">
        <v>40</v>
      </c>
      <c r="H178" s="15" t="str">
        <f>_xlfn.DISPIMG("ID_E49552A7039F4B8585D4EAD562EB99DF",1)</f>
        <v>=DISPIMG("ID_E49552A7039F4B8585D4EAD562EB99DF",1)</v>
      </c>
    </row>
    <row r="179" s="2" customFormat="1" customHeight="1" spans="1:8">
      <c r="A179" s="13">
        <v>178</v>
      </c>
      <c r="B179" s="15" t="s">
        <v>225</v>
      </c>
      <c r="C179" s="14" t="s">
        <v>327</v>
      </c>
      <c r="D179" s="16" t="s">
        <v>354</v>
      </c>
      <c r="E179" s="15" t="s">
        <v>355</v>
      </c>
      <c r="F179" s="16" t="s">
        <v>356</v>
      </c>
      <c r="G179" s="17">
        <v>45</v>
      </c>
      <c r="H179" s="15" t="str">
        <f>_xlfn.DISPIMG("ID_D9E11B9D79D34360B1E9C785B88F3680",1)</f>
        <v>=DISPIMG("ID_D9E11B9D79D34360B1E9C785B88F3680",1)</v>
      </c>
    </row>
    <row r="180" s="2" customFormat="1" customHeight="1" spans="1:8">
      <c r="A180" s="13">
        <v>179</v>
      </c>
      <c r="B180" s="15" t="s">
        <v>225</v>
      </c>
      <c r="C180" s="14" t="s">
        <v>327</v>
      </c>
      <c r="D180" s="16" t="s">
        <v>357</v>
      </c>
      <c r="E180" s="15" t="s">
        <v>355</v>
      </c>
      <c r="F180" s="16" t="s">
        <v>358</v>
      </c>
      <c r="G180" s="17">
        <v>2</v>
      </c>
      <c r="H180" s="15" t="str">
        <f>_xlfn.DISPIMG("ID_5AEC63AA1C954300B7851930BA822E41",1)</f>
        <v>=DISPIMG("ID_5AEC63AA1C954300B7851930BA822E41",1)</v>
      </c>
    </row>
    <row r="181" s="2" customFormat="1" customHeight="1" spans="1:8">
      <c r="A181" s="13">
        <v>180</v>
      </c>
      <c r="B181" s="16" t="s">
        <v>225</v>
      </c>
      <c r="C181" s="14" t="s">
        <v>327</v>
      </c>
      <c r="D181" s="16" t="s">
        <v>357</v>
      </c>
      <c r="E181" s="15" t="s">
        <v>355</v>
      </c>
      <c r="F181" s="16" t="s">
        <v>359</v>
      </c>
      <c r="G181" s="31">
        <v>55</v>
      </c>
      <c r="H181" s="32" t="str">
        <f>_xlfn.DISPIMG("ID_BAC5F4AEBEB94348988DDA8F538A4B86",1)</f>
        <v>=DISPIMG("ID_BAC5F4AEBEB94348988DDA8F538A4B86",1)</v>
      </c>
    </row>
    <row r="182" s="2" customFormat="1" customHeight="1" spans="1:8">
      <c r="A182" s="13">
        <v>181</v>
      </c>
      <c r="B182" s="15" t="s">
        <v>225</v>
      </c>
      <c r="C182" s="14" t="s">
        <v>327</v>
      </c>
      <c r="D182" s="16" t="s">
        <v>360</v>
      </c>
      <c r="E182" s="15" t="s">
        <v>260</v>
      </c>
      <c r="F182" s="16" t="s">
        <v>261</v>
      </c>
      <c r="G182" s="17">
        <v>206.68</v>
      </c>
      <c r="H182" s="15" t="str">
        <f>_xlfn.DISPIMG("ID_497F7859354E413C919E7411004135D8",1)</f>
        <v>=DISPIMG("ID_497F7859354E413C919E7411004135D8",1)</v>
      </c>
    </row>
    <row r="183" s="2" customFormat="1" customHeight="1" spans="1:8">
      <c r="A183" s="13">
        <v>182</v>
      </c>
      <c r="B183" s="15" t="s">
        <v>225</v>
      </c>
      <c r="C183" s="14" t="s">
        <v>327</v>
      </c>
      <c r="D183" s="16" t="s">
        <v>361</v>
      </c>
      <c r="E183" s="15" t="s">
        <v>260</v>
      </c>
      <c r="F183" s="16" t="s">
        <v>362</v>
      </c>
      <c r="G183" s="17">
        <v>35</v>
      </c>
      <c r="H183" s="15"/>
    </row>
    <row r="184" s="2" customFormat="1" customHeight="1" spans="1:8">
      <c r="A184" s="13">
        <v>183</v>
      </c>
      <c r="B184" s="15" t="s">
        <v>225</v>
      </c>
      <c r="C184" s="14" t="s">
        <v>327</v>
      </c>
      <c r="D184" s="16" t="s">
        <v>363</v>
      </c>
      <c r="E184" s="15" t="s">
        <v>364</v>
      </c>
      <c r="F184" s="16" t="s">
        <v>365</v>
      </c>
      <c r="G184" s="31">
        <v>45</v>
      </c>
      <c r="H184" s="32" t="str">
        <f>_xlfn.DISPIMG("ID_7B9BDE217A4D4EE6923820322EA50047",1)</f>
        <v>=DISPIMG("ID_7B9BDE217A4D4EE6923820322EA50047",1)</v>
      </c>
    </row>
    <row r="185" s="2" customFormat="1" customHeight="1" spans="1:8">
      <c r="A185" s="13">
        <v>184</v>
      </c>
      <c r="B185" s="15" t="s">
        <v>225</v>
      </c>
      <c r="C185" s="14" t="s">
        <v>327</v>
      </c>
      <c r="D185" s="16" t="s">
        <v>366</v>
      </c>
      <c r="E185" s="15" t="s">
        <v>276</v>
      </c>
      <c r="F185" s="16" t="s">
        <v>367</v>
      </c>
      <c r="G185" s="17">
        <v>7.65</v>
      </c>
      <c r="H185" s="15" t="str">
        <f>_xlfn.DISPIMG("ID_DE5606E3731E46E29F20305E711B737E",1)</f>
        <v>=DISPIMG("ID_DE5606E3731E46E29F20305E711B737E",1)</v>
      </c>
    </row>
    <row r="186" s="2" customFormat="1" customHeight="1" spans="1:8">
      <c r="A186" s="13">
        <v>185</v>
      </c>
      <c r="B186" s="14" t="s">
        <v>225</v>
      </c>
      <c r="C186" s="14" t="s">
        <v>327</v>
      </c>
      <c r="D186" s="15" t="s">
        <v>366</v>
      </c>
      <c r="E186" s="15" t="s">
        <v>276</v>
      </c>
      <c r="F186" s="16" t="s">
        <v>368</v>
      </c>
      <c r="G186" s="17">
        <v>220</v>
      </c>
      <c r="H186" s="15" t="str">
        <f>_xlfn.DISPIMG("ID_9579890C43F04056B02B3128A7221CF2",1)</f>
        <v>=DISPIMG("ID_9579890C43F04056B02B3128A7221CF2",1)</v>
      </c>
    </row>
    <row r="187" s="2" customFormat="1" customHeight="1" spans="1:8">
      <c r="A187" s="13">
        <v>186</v>
      </c>
      <c r="B187" s="15" t="s">
        <v>225</v>
      </c>
      <c r="C187" s="14" t="s">
        <v>327</v>
      </c>
      <c r="D187" s="16" t="s">
        <v>369</v>
      </c>
      <c r="E187" s="15" t="s">
        <v>370</v>
      </c>
      <c r="F187" s="16" t="s">
        <v>273</v>
      </c>
      <c r="G187" s="17">
        <v>2</v>
      </c>
      <c r="H187" s="15" t="str">
        <f>_xlfn.DISPIMG("ID_DFFE5C220CA4480F8C6A386B1B263E73",1)</f>
        <v>=DISPIMG("ID_DFFE5C220CA4480F8C6A386B1B263E73",1)</v>
      </c>
    </row>
    <row r="188" s="2" customFormat="1" customHeight="1" spans="1:8">
      <c r="A188" s="13">
        <v>187</v>
      </c>
      <c r="B188" s="15" t="s">
        <v>225</v>
      </c>
      <c r="C188" s="14" t="s">
        <v>327</v>
      </c>
      <c r="D188" s="16" t="s">
        <v>371</v>
      </c>
      <c r="E188" s="15" t="s">
        <v>370</v>
      </c>
      <c r="F188" s="16" t="s">
        <v>372</v>
      </c>
      <c r="G188" s="17">
        <v>100</v>
      </c>
      <c r="H188" s="15" t="str">
        <f>_xlfn.DISPIMG("ID_50EF3466856344448FAC8E1FD9778475",1)</f>
        <v>=DISPIMG("ID_50EF3466856344448FAC8E1FD9778475",1)</v>
      </c>
    </row>
    <row r="189" s="2" customFormat="1" customHeight="1" spans="1:8">
      <c r="A189" s="13">
        <v>188</v>
      </c>
      <c r="B189" s="15" t="s">
        <v>225</v>
      </c>
      <c r="C189" s="14" t="s">
        <v>327</v>
      </c>
      <c r="D189" s="16" t="s">
        <v>373</v>
      </c>
      <c r="E189" s="15" t="s">
        <v>374</v>
      </c>
      <c r="F189" s="16" t="s">
        <v>330</v>
      </c>
      <c r="G189" s="17">
        <v>8.5</v>
      </c>
      <c r="H189" s="15" t="str">
        <f>_xlfn.DISPIMG("ID_7B30C0D043FD4E77A223C739A675C480",1)</f>
        <v>=DISPIMG("ID_7B30C0D043FD4E77A223C739A675C480",1)</v>
      </c>
    </row>
    <row r="190" s="2" customFormat="1" customHeight="1" spans="1:8">
      <c r="A190" s="13">
        <v>189</v>
      </c>
      <c r="B190" s="16" t="s">
        <v>225</v>
      </c>
      <c r="C190" s="14" t="s">
        <v>327</v>
      </c>
      <c r="D190" s="16" t="s">
        <v>375</v>
      </c>
      <c r="E190" s="15" t="s">
        <v>376</v>
      </c>
      <c r="F190" s="16" t="s">
        <v>377</v>
      </c>
      <c r="G190" s="17">
        <v>110</v>
      </c>
      <c r="H190" s="15" t="str">
        <f>_xlfn.DISPIMG("ID_92176FA6B8A74EF9BF7E10CBB3E1DFFD",1)</f>
        <v>=DISPIMG("ID_92176FA6B8A74EF9BF7E10CBB3E1DFFD",1)</v>
      </c>
    </row>
    <row r="191" s="2" customFormat="1" customHeight="1" spans="1:8">
      <c r="A191" s="13">
        <v>190</v>
      </c>
      <c r="B191" s="15" t="s">
        <v>225</v>
      </c>
      <c r="C191" s="15" t="s">
        <v>327</v>
      </c>
      <c r="D191" s="15" t="s">
        <v>378</v>
      </c>
      <c r="E191" s="15" t="s">
        <v>276</v>
      </c>
      <c r="F191" s="16" t="s">
        <v>379</v>
      </c>
      <c r="G191" s="25">
        <v>210</v>
      </c>
      <c r="H191" s="16" t="str">
        <f>_xlfn.DISPIMG("ID_51147FE1578646A9A2428B2955173409",1)</f>
        <v>=DISPIMG("ID_51147FE1578646A9A2428B2955173409",1)</v>
      </c>
    </row>
    <row r="192" s="2" customFormat="1" customHeight="1" spans="1:8">
      <c r="A192" s="13">
        <v>191</v>
      </c>
      <c r="B192" s="15" t="s">
        <v>225</v>
      </c>
      <c r="C192" s="15" t="s">
        <v>327</v>
      </c>
      <c r="D192" s="15" t="s">
        <v>380</v>
      </c>
      <c r="E192" s="15" t="s">
        <v>381</v>
      </c>
      <c r="F192" s="16" t="s">
        <v>382</v>
      </c>
      <c r="G192" s="17">
        <v>3</v>
      </c>
      <c r="H192" s="15" t="str">
        <f>_xlfn.DISPIMG("ID_6A6AD94C05A64CD2A983E9AA7F9C7EA9",1)</f>
        <v>=DISPIMG("ID_6A6AD94C05A64CD2A983E9AA7F9C7EA9",1)</v>
      </c>
    </row>
    <row r="193" s="5" customFormat="1" customHeight="1" spans="1:8">
      <c r="A193" s="13">
        <v>192</v>
      </c>
      <c r="B193" s="26" t="s">
        <v>225</v>
      </c>
      <c r="C193" s="26" t="s">
        <v>327</v>
      </c>
      <c r="D193" s="26" t="s">
        <v>383</v>
      </c>
      <c r="E193" s="26" t="s">
        <v>384</v>
      </c>
      <c r="F193" s="27" t="s">
        <v>385</v>
      </c>
      <c r="G193" s="28">
        <v>279</v>
      </c>
      <c r="H193" s="26"/>
    </row>
    <row r="194" s="5" customFormat="1" customHeight="1" spans="1:8">
      <c r="A194" s="13">
        <v>193</v>
      </c>
      <c r="B194" s="26" t="s">
        <v>225</v>
      </c>
      <c r="C194" s="26" t="s">
        <v>327</v>
      </c>
      <c r="D194" s="26" t="s">
        <v>386</v>
      </c>
      <c r="E194" s="26" t="s">
        <v>276</v>
      </c>
      <c r="F194" s="27" t="s">
        <v>387</v>
      </c>
      <c r="G194" s="28">
        <v>378</v>
      </c>
      <c r="H194" s="26"/>
    </row>
    <row r="195" s="5" customFormat="1" customHeight="1" spans="1:8">
      <c r="A195" s="13">
        <v>194</v>
      </c>
      <c r="B195" s="26" t="s">
        <v>225</v>
      </c>
      <c r="C195" s="26" t="s">
        <v>327</v>
      </c>
      <c r="D195" s="26" t="s">
        <v>388</v>
      </c>
      <c r="E195" s="26" t="s">
        <v>296</v>
      </c>
      <c r="F195" s="27" t="s">
        <v>389</v>
      </c>
      <c r="G195" s="28">
        <v>85</v>
      </c>
      <c r="H195" s="26"/>
    </row>
    <row r="196" s="5" customFormat="1" customHeight="1" spans="1:8">
      <c r="A196" s="13">
        <v>195</v>
      </c>
      <c r="B196" s="26" t="s">
        <v>225</v>
      </c>
      <c r="C196" s="26" t="s">
        <v>327</v>
      </c>
      <c r="D196" s="26" t="s">
        <v>390</v>
      </c>
      <c r="E196" s="26" t="s">
        <v>391</v>
      </c>
      <c r="F196" s="27" t="s">
        <v>392</v>
      </c>
      <c r="G196" s="28">
        <v>385</v>
      </c>
      <c r="H196" s="26"/>
    </row>
    <row r="197" s="5" customFormat="1" customHeight="1" spans="1:8">
      <c r="A197" s="13">
        <v>196</v>
      </c>
      <c r="B197" s="26" t="s">
        <v>225</v>
      </c>
      <c r="C197" s="26" t="s">
        <v>327</v>
      </c>
      <c r="D197" s="26" t="s">
        <v>393</v>
      </c>
      <c r="E197" s="26" t="s">
        <v>355</v>
      </c>
      <c r="F197" s="27" t="s">
        <v>394</v>
      </c>
      <c r="G197" s="28">
        <v>125</v>
      </c>
      <c r="H197" s="26"/>
    </row>
    <row r="198" s="5" customFormat="1" customHeight="1" spans="1:8">
      <c r="A198" s="13">
        <v>197</v>
      </c>
      <c r="B198" s="26" t="s">
        <v>225</v>
      </c>
      <c r="C198" s="26" t="s">
        <v>327</v>
      </c>
      <c r="D198" s="26" t="s">
        <v>395</v>
      </c>
      <c r="E198" s="26" t="s">
        <v>396</v>
      </c>
      <c r="F198" s="27" t="s">
        <v>397</v>
      </c>
      <c r="G198" s="28">
        <v>11</v>
      </c>
      <c r="H198" s="26"/>
    </row>
    <row r="199" s="5" customFormat="1" customHeight="1" spans="1:8">
      <c r="A199" s="13">
        <v>198</v>
      </c>
      <c r="B199" s="26" t="s">
        <v>225</v>
      </c>
      <c r="C199" s="26" t="s">
        <v>327</v>
      </c>
      <c r="D199" s="26" t="s">
        <v>398</v>
      </c>
      <c r="E199" s="26" t="s">
        <v>396</v>
      </c>
      <c r="F199" s="27" t="s">
        <v>399</v>
      </c>
      <c r="G199" s="28">
        <v>18</v>
      </c>
      <c r="H199" s="26"/>
    </row>
    <row r="200" s="5" customFormat="1" customHeight="1" spans="1:8">
      <c r="A200" s="13">
        <v>199</v>
      </c>
      <c r="B200" s="26" t="s">
        <v>225</v>
      </c>
      <c r="C200" s="26" t="s">
        <v>327</v>
      </c>
      <c r="D200" s="26" t="s">
        <v>400</v>
      </c>
      <c r="E200" s="26" t="s">
        <v>396</v>
      </c>
      <c r="F200" s="27" t="s">
        <v>399</v>
      </c>
      <c r="G200" s="28">
        <v>18</v>
      </c>
      <c r="H200" s="26"/>
    </row>
    <row r="201" s="5" customFormat="1" customHeight="1" spans="1:8">
      <c r="A201" s="13">
        <v>200</v>
      </c>
      <c r="B201" s="26" t="s">
        <v>225</v>
      </c>
      <c r="C201" s="26" t="s">
        <v>327</v>
      </c>
      <c r="D201" s="26" t="s">
        <v>401</v>
      </c>
      <c r="E201" s="26" t="s">
        <v>402</v>
      </c>
      <c r="F201" s="27" t="s">
        <v>403</v>
      </c>
      <c r="G201" s="28">
        <v>195</v>
      </c>
      <c r="H201" s="26"/>
    </row>
    <row r="202" s="5" customFormat="1" customHeight="1" spans="1:8">
      <c r="A202" s="13">
        <v>201</v>
      </c>
      <c r="B202" s="26" t="s">
        <v>225</v>
      </c>
      <c r="C202" s="26" t="s">
        <v>327</v>
      </c>
      <c r="D202" s="26" t="s">
        <v>404</v>
      </c>
      <c r="E202" s="26" t="s">
        <v>405</v>
      </c>
      <c r="F202" s="27" t="s">
        <v>406</v>
      </c>
      <c r="G202" s="28">
        <v>168</v>
      </c>
      <c r="H202" s="26"/>
    </row>
    <row r="203" s="5" customFormat="1" customHeight="1" spans="1:8">
      <c r="A203" s="13">
        <v>202</v>
      </c>
      <c r="B203" s="26" t="s">
        <v>225</v>
      </c>
      <c r="C203" s="26" t="s">
        <v>327</v>
      </c>
      <c r="D203" s="26" t="s">
        <v>340</v>
      </c>
      <c r="E203" s="26" t="s">
        <v>231</v>
      </c>
      <c r="F203" s="27" t="s">
        <v>407</v>
      </c>
      <c r="G203" s="28">
        <v>9.9</v>
      </c>
      <c r="H203" s="26"/>
    </row>
    <row r="204" s="2" customFormat="1" customHeight="1" spans="1:8">
      <c r="A204" s="13">
        <v>203</v>
      </c>
      <c r="B204" s="15" t="s">
        <v>225</v>
      </c>
      <c r="C204" s="14" t="s">
        <v>408</v>
      </c>
      <c r="D204" s="15" t="s">
        <v>409</v>
      </c>
      <c r="E204" s="15" t="s">
        <v>231</v>
      </c>
      <c r="F204" s="16" t="s">
        <v>341</v>
      </c>
      <c r="G204" s="17">
        <v>55</v>
      </c>
      <c r="H204" s="15" t="str">
        <f>_xlfn.DISPIMG("ID_BD61F884965F4AE19DEC817C124D6579",1)</f>
        <v>=DISPIMG("ID_BD61F884965F4AE19DEC817C124D6579",1)</v>
      </c>
    </row>
    <row r="205" s="2" customFormat="1" customHeight="1" spans="1:8">
      <c r="A205" s="13">
        <v>204</v>
      </c>
      <c r="B205" s="15" t="s">
        <v>225</v>
      </c>
      <c r="C205" s="14" t="s">
        <v>408</v>
      </c>
      <c r="D205" s="16" t="s">
        <v>409</v>
      </c>
      <c r="E205" s="15" t="s">
        <v>231</v>
      </c>
      <c r="F205" s="16" t="s">
        <v>410</v>
      </c>
      <c r="G205" s="17">
        <v>7.93333333333333</v>
      </c>
      <c r="H205" s="15" t="str">
        <f>_xlfn.DISPIMG("ID_9C6A8F2D68E7464CBFD857A855DA0C89",1)</f>
        <v>=DISPIMG("ID_9C6A8F2D68E7464CBFD857A855DA0C89",1)</v>
      </c>
    </row>
    <row r="206" s="2" customFormat="1" customHeight="1" spans="1:8">
      <c r="A206" s="13">
        <v>205</v>
      </c>
      <c r="B206" s="14" t="s">
        <v>225</v>
      </c>
      <c r="C206" s="14" t="s">
        <v>408</v>
      </c>
      <c r="D206" s="16" t="s">
        <v>411</v>
      </c>
      <c r="E206" s="15" t="s">
        <v>296</v>
      </c>
      <c r="F206" s="16" t="s">
        <v>412</v>
      </c>
      <c r="G206" s="17">
        <v>18.9</v>
      </c>
      <c r="H206" s="15" t="str">
        <f>_xlfn.DISPIMG("ID_E4F97A1D2E7749AA9FF57EB003B5BC06",1)</f>
        <v>=DISPIMG("ID_E4F97A1D2E7749AA9FF57EB003B5BC06",1)</v>
      </c>
    </row>
    <row r="207" s="2" customFormat="1" customHeight="1" spans="1:8">
      <c r="A207" s="13">
        <v>206</v>
      </c>
      <c r="B207" s="15" t="s">
        <v>225</v>
      </c>
      <c r="C207" s="14" t="s">
        <v>408</v>
      </c>
      <c r="D207" s="16" t="s">
        <v>413</v>
      </c>
      <c r="E207" s="15" t="s">
        <v>296</v>
      </c>
      <c r="F207" s="16" t="s">
        <v>341</v>
      </c>
      <c r="G207" s="17">
        <v>68</v>
      </c>
      <c r="H207" s="15" t="str">
        <f>_xlfn.DISPIMG("ID_4B7C4C8AF0964789A3295A838D583830",1)</f>
        <v>=DISPIMG("ID_4B7C4C8AF0964789A3295A838D583830",1)</v>
      </c>
    </row>
    <row r="208" s="2" customFormat="1" customHeight="1" spans="1:8">
      <c r="A208" s="13">
        <v>207</v>
      </c>
      <c r="B208" s="15" t="s">
        <v>225</v>
      </c>
      <c r="C208" s="14" t="s">
        <v>408</v>
      </c>
      <c r="D208" s="16" t="s">
        <v>414</v>
      </c>
      <c r="E208" s="15" t="s">
        <v>14</v>
      </c>
      <c r="F208" s="16" t="s">
        <v>415</v>
      </c>
      <c r="G208" s="17">
        <v>75</v>
      </c>
      <c r="H208" s="15"/>
    </row>
    <row r="209" s="2" customFormat="1" customHeight="1" spans="1:8">
      <c r="A209" s="13">
        <v>208</v>
      </c>
      <c r="B209" s="15" t="s">
        <v>225</v>
      </c>
      <c r="C209" s="14" t="s">
        <v>416</v>
      </c>
      <c r="D209" s="16" t="s">
        <v>417</v>
      </c>
      <c r="E209" s="15" t="s">
        <v>350</v>
      </c>
      <c r="F209" s="16" t="s">
        <v>418</v>
      </c>
      <c r="G209" s="17">
        <v>20</v>
      </c>
      <c r="H209" s="15" t="str">
        <f>_xlfn.DISPIMG("ID_D9C071ECF6A54EE3B7B458901D378D42",1)</f>
        <v>=DISPIMG("ID_D9C071ECF6A54EE3B7B458901D378D42",1)</v>
      </c>
    </row>
    <row r="210" s="2" customFormat="1" customHeight="1" spans="1:8">
      <c r="A210" s="13">
        <v>209</v>
      </c>
      <c r="B210" s="15" t="s">
        <v>225</v>
      </c>
      <c r="C210" s="14" t="s">
        <v>416</v>
      </c>
      <c r="D210" s="15" t="s">
        <v>419</v>
      </c>
      <c r="E210" s="15" t="s">
        <v>420</v>
      </c>
      <c r="F210" s="16" t="s">
        <v>421</v>
      </c>
      <c r="G210" s="17">
        <v>22.6</v>
      </c>
      <c r="H210" s="15" t="str">
        <f>_xlfn.DISPIMG("ID_4C7F1E571F6F4C2B872F97A2B47F8749",1)</f>
        <v>=DISPIMG("ID_4C7F1E571F6F4C2B872F97A2B47F8749",1)</v>
      </c>
    </row>
    <row r="211" s="2" customFormat="1" customHeight="1" spans="1:8">
      <c r="A211" s="13">
        <v>210</v>
      </c>
      <c r="B211" s="15" t="s">
        <v>225</v>
      </c>
      <c r="C211" s="14" t="s">
        <v>416</v>
      </c>
      <c r="D211" s="15" t="s">
        <v>419</v>
      </c>
      <c r="E211" s="15" t="s">
        <v>419</v>
      </c>
      <c r="F211" s="16" t="s">
        <v>422</v>
      </c>
      <c r="G211" s="17">
        <v>395</v>
      </c>
      <c r="H211" s="15" t="str">
        <f>_xlfn.DISPIMG("ID_F3F0670F63B249DABC8C79F56C042F4D",1)</f>
        <v>=DISPIMG("ID_F3F0670F63B249DABC8C79F56C042F4D",1)</v>
      </c>
    </row>
    <row r="212" s="2" customFormat="1" customHeight="1" spans="1:8">
      <c r="A212" s="13">
        <v>211</v>
      </c>
      <c r="B212" s="15" t="s">
        <v>225</v>
      </c>
      <c r="C212" s="14" t="s">
        <v>423</v>
      </c>
      <c r="D212" s="16" t="s">
        <v>424</v>
      </c>
      <c r="E212" s="15" t="s">
        <v>425</v>
      </c>
      <c r="F212" s="16" t="s">
        <v>232</v>
      </c>
      <c r="G212" s="17">
        <v>16.8</v>
      </c>
      <c r="H212" s="15" t="str">
        <f>_xlfn.DISPIMG("ID_2EF14C75B63E4EBA8534F5477B6FC8FF",1)</f>
        <v>=DISPIMG("ID_2EF14C75B63E4EBA8534F5477B6FC8FF",1)</v>
      </c>
    </row>
    <row r="213" s="2" customFormat="1" customHeight="1" spans="1:8">
      <c r="A213" s="13">
        <v>212</v>
      </c>
      <c r="B213" s="15" t="s">
        <v>225</v>
      </c>
      <c r="C213" s="14" t="s">
        <v>423</v>
      </c>
      <c r="D213" s="16" t="s">
        <v>426</v>
      </c>
      <c r="E213" s="15" t="s">
        <v>231</v>
      </c>
      <c r="F213" s="16" t="s">
        <v>232</v>
      </c>
      <c r="G213" s="17">
        <v>27.9</v>
      </c>
      <c r="H213" s="15" t="str">
        <f>_xlfn.DISPIMG("ID_7EE0AFEB725843E08265AF21F3094A12",1)</f>
        <v>=DISPIMG("ID_7EE0AFEB725843E08265AF21F3094A12",1)</v>
      </c>
    </row>
    <row r="214" s="2" customFormat="1" customHeight="1" spans="1:8">
      <c r="A214" s="13">
        <v>213</v>
      </c>
      <c r="B214" s="15" t="s">
        <v>225</v>
      </c>
      <c r="C214" s="14" t="s">
        <v>423</v>
      </c>
      <c r="D214" s="16" t="s">
        <v>427</v>
      </c>
      <c r="E214" s="15" t="s">
        <v>231</v>
      </c>
      <c r="F214" s="16" t="s">
        <v>428</v>
      </c>
      <c r="G214" s="17">
        <v>65</v>
      </c>
      <c r="H214" s="15" t="str">
        <f>_xlfn.DISPIMG("ID_E5FFA964ED2B46638B71B546DC6FAB66",1)</f>
        <v>=DISPIMG("ID_E5FFA964ED2B46638B71B546DC6FAB66",1)</v>
      </c>
    </row>
    <row r="215" s="2" customFormat="1" customHeight="1" spans="1:8">
      <c r="A215" s="13">
        <v>214</v>
      </c>
      <c r="B215" s="15" t="s">
        <v>225</v>
      </c>
      <c r="C215" s="14" t="s">
        <v>423</v>
      </c>
      <c r="D215" s="16" t="s">
        <v>427</v>
      </c>
      <c r="E215" s="15" t="s">
        <v>231</v>
      </c>
      <c r="F215" s="16" t="s">
        <v>429</v>
      </c>
      <c r="G215" s="17">
        <v>125</v>
      </c>
      <c r="H215" s="15" t="str">
        <f>_xlfn.DISPIMG("ID_9AAB5BE009E54703964ABC35C3E8165F",1)</f>
        <v>=DISPIMG("ID_9AAB5BE009E54703964ABC35C3E8165F",1)</v>
      </c>
    </row>
    <row r="216" s="2" customFormat="1" customHeight="1" spans="1:8">
      <c r="A216" s="13">
        <v>215</v>
      </c>
      <c r="B216" s="15" t="s">
        <v>225</v>
      </c>
      <c r="C216" s="14" t="s">
        <v>423</v>
      </c>
      <c r="D216" s="16" t="s">
        <v>430</v>
      </c>
      <c r="E216" s="15" t="s">
        <v>231</v>
      </c>
      <c r="F216" s="16" t="s">
        <v>431</v>
      </c>
      <c r="G216" s="17">
        <v>90</v>
      </c>
      <c r="H216" s="15" t="str">
        <f>_xlfn.DISPIMG("ID_5871A135B05F418C89D4218467564BB2",1)</f>
        <v>=DISPIMG("ID_5871A135B05F418C89D4218467564BB2",1)</v>
      </c>
    </row>
    <row r="217" s="2" customFormat="1" customHeight="1" spans="1:8">
      <c r="A217" s="13">
        <v>216</v>
      </c>
      <c r="B217" s="15" t="s">
        <v>225</v>
      </c>
      <c r="C217" s="14" t="s">
        <v>423</v>
      </c>
      <c r="D217" s="16" t="s">
        <v>430</v>
      </c>
      <c r="E217" s="15" t="s">
        <v>231</v>
      </c>
      <c r="F217" s="16" t="s">
        <v>232</v>
      </c>
      <c r="G217" s="17">
        <v>16.4</v>
      </c>
      <c r="H217" s="15" t="str">
        <f>_xlfn.DISPIMG("ID_D2FD3CFC09234C3082594205B98766C5",1)</f>
        <v>=DISPIMG("ID_D2FD3CFC09234C3082594205B98766C5",1)</v>
      </c>
    </row>
    <row r="218" s="2" customFormat="1" customHeight="1" spans="1:8">
      <c r="A218" s="13">
        <v>217</v>
      </c>
      <c r="B218" s="15" t="s">
        <v>225</v>
      </c>
      <c r="C218" s="14" t="s">
        <v>423</v>
      </c>
      <c r="D218" s="16" t="s">
        <v>432</v>
      </c>
      <c r="E218" s="15" t="s">
        <v>231</v>
      </c>
      <c r="F218" s="16" t="s">
        <v>242</v>
      </c>
      <c r="G218" s="17">
        <v>7.45</v>
      </c>
      <c r="H218" s="15" t="str">
        <f>_xlfn.DISPIMG("ID_6C7F792C93474B43B6D40001BFB2E0E7",1)</f>
        <v>=DISPIMG("ID_6C7F792C93474B43B6D40001BFB2E0E7",1)</v>
      </c>
    </row>
    <row r="219" s="2" customFormat="1" customHeight="1" spans="1:8">
      <c r="A219" s="13">
        <v>218</v>
      </c>
      <c r="B219" s="15" t="s">
        <v>225</v>
      </c>
      <c r="C219" s="14" t="s">
        <v>423</v>
      </c>
      <c r="D219" s="16" t="s">
        <v>432</v>
      </c>
      <c r="E219" s="15" t="s">
        <v>231</v>
      </c>
      <c r="F219" s="16" t="s">
        <v>433</v>
      </c>
      <c r="G219" s="17">
        <v>55</v>
      </c>
      <c r="H219" s="15" t="str">
        <f>_xlfn.DISPIMG("ID_C14D44FDB0624888A0F89EF2C9B86E95",1)</f>
        <v>=DISPIMG("ID_C14D44FDB0624888A0F89EF2C9B86E95",1)</v>
      </c>
    </row>
    <row r="220" s="2" customFormat="1" customHeight="1" spans="1:8">
      <c r="A220" s="13">
        <v>219</v>
      </c>
      <c r="B220" s="15" t="s">
        <v>225</v>
      </c>
      <c r="C220" s="14" t="s">
        <v>423</v>
      </c>
      <c r="D220" s="16" t="s">
        <v>434</v>
      </c>
      <c r="E220" s="15" t="s">
        <v>231</v>
      </c>
      <c r="F220" s="16" t="s">
        <v>435</v>
      </c>
      <c r="G220" s="17">
        <v>14.1666666666667</v>
      </c>
      <c r="H220" s="15" t="str">
        <f>_xlfn.DISPIMG("ID_F0AEDF39193943E8AF3C1A28D4B5574C",1)</f>
        <v>=DISPIMG("ID_F0AEDF39193943E8AF3C1A28D4B5574C",1)</v>
      </c>
    </row>
    <row r="221" s="2" customFormat="1" customHeight="1" spans="1:8">
      <c r="A221" s="13">
        <v>220</v>
      </c>
      <c r="B221" s="15" t="s">
        <v>225</v>
      </c>
      <c r="C221" s="14" t="s">
        <v>423</v>
      </c>
      <c r="D221" s="16" t="s">
        <v>434</v>
      </c>
      <c r="E221" s="15" t="s">
        <v>231</v>
      </c>
      <c r="F221" s="16" t="s">
        <v>436</v>
      </c>
      <c r="G221" s="17">
        <v>60</v>
      </c>
      <c r="H221" s="15" t="str">
        <f>_xlfn.DISPIMG("ID_F8F9D9A6EE9B44EF8B4E4C140EA81078",1)</f>
        <v>=DISPIMG("ID_F8F9D9A6EE9B44EF8B4E4C140EA81078",1)</v>
      </c>
    </row>
    <row r="222" s="2" customFormat="1" customHeight="1" spans="1:8">
      <c r="A222" s="13">
        <v>221</v>
      </c>
      <c r="B222" s="15" t="s">
        <v>225</v>
      </c>
      <c r="C222" s="14" t="s">
        <v>423</v>
      </c>
      <c r="D222" s="16" t="s">
        <v>437</v>
      </c>
      <c r="E222" s="15" t="s">
        <v>231</v>
      </c>
      <c r="F222" s="16" t="s">
        <v>232</v>
      </c>
      <c r="G222" s="17">
        <v>23.6</v>
      </c>
      <c r="H222" s="15" t="str">
        <f>_xlfn.DISPIMG("ID_131E28329668417B9A42F28E4B073F22",1)</f>
        <v>=DISPIMG("ID_131E28329668417B9A42F28E4B073F22",1)</v>
      </c>
    </row>
    <row r="223" s="2" customFormat="1" customHeight="1" spans="1:8">
      <c r="A223" s="13">
        <v>222</v>
      </c>
      <c r="B223" s="15" t="s">
        <v>225</v>
      </c>
      <c r="C223" s="14" t="s">
        <v>423</v>
      </c>
      <c r="D223" s="16" t="s">
        <v>438</v>
      </c>
      <c r="E223" s="15" t="s">
        <v>231</v>
      </c>
      <c r="F223" s="16" t="s">
        <v>439</v>
      </c>
      <c r="G223" s="17">
        <v>19.9</v>
      </c>
      <c r="H223" s="15" t="str">
        <f>_xlfn.DISPIMG("ID_0723ADF4FE2C4E00A238704E1A8E3F0C",1)</f>
        <v>=DISPIMG("ID_0723ADF4FE2C4E00A238704E1A8E3F0C",1)</v>
      </c>
    </row>
    <row r="224" s="2" customFormat="1" customHeight="1" spans="1:8">
      <c r="A224" s="13">
        <v>223</v>
      </c>
      <c r="B224" s="15" t="s">
        <v>225</v>
      </c>
      <c r="C224" s="14" t="s">
        <v>423</v>
      </c>
      <c r="D224" s="16" t="s">
        <v>440</v>
      </c>
      <c r="E224" s="15" t="s">
        <v>231</v>
      </c>
      <c r="F224" s="16" t="s">
        <v>232</v>
      </c>
      <c r="G224" s="17">
        <v>15.2666666666667</v>
      </c>
      <c r="H224" s="15" t="str">
        <f>_xlfn.DISPIMG("ID_39DAFEDA8B17422BA326FCBF6F87C116",1)</f>
        <v>=DISPIMG("ID_39DAFEDA8B17422BA326FCBF6F87C116",1)</v>
      </c>
    </row>
    <row r="225" s="2" customFormat="1" customHeight="1" spans="1:8">
      <c r="A225" s="13">
        <v>224</v>
      </c>
      <c r="B225" s="15" t="s">
        <v>225</v>
      </c>
      <c r="C225" s="14" t="s">
        <v>423</v>
      </c>
      <c r="D225" s="16" t="s">
        <v>441</v>
      </c>
      <c r="E225" s="15" t="s">
        <v>231</v>
      </c>
      <c r="F225" s="16" t="s">
        <v>242</v>
      </c>
      <c r="G225" s="17">
        <v>6.25</v>
      </c>
      <c r="H225" s="15" t="str">
        <f>_xlfn.DISPIMG("ID_D534DDA18FB0419C8E08647B8F621361",1)</f>
        <v>=DISPIMG("ID_D534DDA18FB0419C8E08647B8F621361",1)</v>
      </c>
    </row>
    <row r="226" s="2" customFormat="1" customHeight="1" spans="1:8">
      <c r="A226" s="13">
        <v>225</v>
      </c>
      <c r="B226" s="15" t="s">
        <v>225</v>
      </c>
      <c r="C226" s="14" t="s">
        <v>423</v>
      </c>
      <c r="D226" s="16" t="s">
        <v>441</v>
      </c>
      <c r="E226" s="15" t="s">
        <v>231</v>
      </c>
      <c r="F226" s="16" t="s">
        <v>234</v>
      </c>
      <c r="G226" s="17">
        <v>50</v>
      </c>
      <c r="H226" s="15" t="str">
        <f>_xlfn.DISPIMG("ID_64946FF001FE40B39425959A567938EE",1)</f>
        <v>=DISPIMG("ID_64946FF001FE40B39425959A567938EE",1)</v>
      </c>
    </row>
    <row r="227" s="2" customFormat="1" customHeight="1" spans="1:8">
      <c r="A227" s="13">
        <v>226</v>
      </c>
      <c r="B227" s="15" t="s">
        <v>225</v>
      </c>
      <c r="C227" s="14" t="s">
        <v>423</v>
      </c>
      <c r="D227" s="15" t="s">
        <v>442</v>
      </c>
      <c r="E227" s="15" t="s">
        <v>231</v>
      </c>
      <c r="F227" s="16" t="s">
        <v>232</v>
      </c>
      <c r="G227" s="17">
        <v>21.27</v>
      </c>
      <c r="H227" s="15" t="str">
        <f>_xlfn.DISPIMG("ID_B4A0D2B510B7433C8CDBEA4E52149187",1)</f>
        <v>=DISPIMG("ID_B4A0D2B510B7433C8CDBEA4E52149187",1)</v>
      </c>
    </row>
    <row r="228" s="2" customFormat="1" customHeight="1" spans="1:8">
      <c r="A228" s="13">
        <v>227</v>
      </c>
      <c r="B228" s="15" t="s">
        <v>225</v>
      </c>
      <c r="C228" s="14" t="s">
        <v>423</v>
      </c>
      <c r="D228" s="15" t="s">
        <v>442</v>
      </c>
      <c r="E228" s="15" t="s">
        <v>231</v>
      </c>
      <c r="F228" s="16" t="s">
        <v>443</v>
      </c>
      <c r="G228" s="17">
        <v>12.93</v>
      </c>
      <c r="H228" s="15" t="str">
        <f>_xlfn.DISPIMG("ID_7FE44DAD7AEC475DB60C4692BFBD04CB",1)</f>
        <v>=DISPIMG("ID_7FE44DAD7AEC475DB60C4692BFBD04CB",1)</v>
      </c>
    </row>
    <row r="229" s="2" customFormat="1" customHeight="1" spans="1:8">
      <c r="A229" s="13">
        <v>228</v>
      </c>
      <c r="B229" s="15" t="s">
        <v>225</v>
      </c>
      <c r="C229" s="14" t="s">
        <v>423</v>
      </c>
      <c r="D229" s="15" t="s">
        <v>442</v>
      </c>
      <c r="E229" s="15" t="s">
        <v>231</v>
      </c>
      <c r="F229" s="16" t="s">
        <v>234</v>
      </c>
      <c r="G229" s="17">
        <v>60</v>
      </c>
      <c r="H229" s="15" t="str">
        <f>_xlfn.DISPIMG("ID_0FE41598208E402BB9BA475722FE5017",1)</f>
        <v>=DISPIMG("ID_0FE41598208E402BB9BA475722FE5017",1)</v>
      </c>
    </row>
    <row r="230" s="2" customFormat="1" customHeight="1" spans="1:8">
      <c r="A230" s="13">
        <v>229</v>
      </c>
      <c r="B230" s="15" t="s">
        <v>225</v>
      </c>
      <c r="C230" s="14" t="s">
        <v>423</v>
      </c>
      <c r="D230" s="15" t="s">
        <v>442</v>
      </c>
      <c r="E230" s="15" t="s">
        <v>231</v>
      </c>
      <c r="F230" s="16" t="s">
        <v>235</v>
      </c>
      <c r="G230" s="17">
        <v>100</v>
      </c>
      <c r="H230" s="15" t="str">
        <f>_xlfn.DISPIMG("ID_D8130456DD3547F1A2A404811BED2EC2",1)</f>
        <v>=DISPIMG("ID_D8130456DD3547F1A2A404811BED2EC2",1)</v>
      </c>
    </row>
    <row r="231" s="2" customFormat="1" customHeight="1" spans="1:8">
      <c r="A231" s="13">
        <v>230</v>
      </c>
      <c r="B231" s="15" t="s">
        <v>225</v>
      </c>
      <c r="C231" s="14" t="s">
        <v>423</v>
      </c>
      <c r="D231" s="16" t="s">
        <v>444</v>
      </c>
      <c r="E231" s="15" t="s">
        <v>231</v>
      </c>
      <c r="F231" s="16" t="s">
        <v>445</v>
      </c>
      <c r="G231" s="17">
        <v>11</v>
      </c>
      <c r="H231" s="15" t="str">
        <f>_xlfn.DISPIMG("ID_5A4A21621D7C4C89AA02C73677CEE1A4",1)</f>
        <v>=DISPIMG("ID_5A4A21621D7C4C89AA02C73677CEE1A4",1)</v>
      </c>
    </row>
    <row r="232" s="2" customFormat="1" customHeight="1" spans="1:8">
      <c r="A232" s="13">
        <v>231</v>
      </c>
      <c r="B232" s="15" t="s">
        <v>225</v>
      </c>
      <c r="C232" s="14" t="s">
        <v>423</v>
      </c>
      <c r="D232" s="16" t="s">
        <v>427</v>
      </c>
      <c r="E232" s="15" t="s">
        <v>231</v>
      </c>
      <c r="F232" s="16" t="s">
        <v>446</v>
      </c>
      <c r="G232" s="17">
        <v>24</v>
      </c>
      <c r="H232" s="15" t="str">
        <f>_xlfn.DISPIMG("ID_C162BE85659142DBAF9A926838A3935A",1)</f>
        <v>=DISPIMG("ID_C162BE85659142DBAF9A926838A3935A",1)</v>
      </c>
    </row>
    <row r="233" s="2" customFormat="1" customHeight="1" spans="1:8">
      <c r="A233" s="13">
        <v>232</v>
      </c>
      <c r="B233" s="15" t="s">
        <v>225</v>
      </c>
      <c r="C233" s="14" t="s">
        <v>423</v>
      </c>
      <c r="D233" s="16" t="s">
        <v>447</v>
      </c>
      <c r="E233" s="15" t="s">
        <v>237</v>
      </c>
      <c r="F233" s="16" t="s">
        <v>242</v>
      </c>
      <c r="G233" s="17">
        <v>22.8</v>
      </c>
      <c r="H233" s="15" t="str">
        <f>_xlfn.DISPIMG("ID_EC0B65F694604507B1B6639A22DB2346",1)</f>
        <v>=DISPIMG("ID_EC0B65F694604507B1B6639A22DB2346",1)</v>
      </c>
    </row>
    <row r="234" s="2" customFormat="1" customHeight="1" spans="1:8">
      <c r="A234" s="13">
        <v>233</v>
      </c>
      <c r="B234" s="14" t="s">
        <v>225</v>
      </c>
      <c r="C234" s="14" t="s">
        <v>423</v>
      </c>
      <c r="D234" s="15" t="s">
        <v>448</v>
      </c>
      <c r="E234" s="15" t="s">
        <v>237</v>
      </c>
      <c r="F234" s="16" t="s">
        <v>238</v>
      </c>
      <c r="G234" s="17">
        <v>22</v>
      </c>
      <c r="H234" s="15" t="str">
        <f>_xlfn.DISPIMG("ID_FDF3CFA489954627842A38B3A5C551A6",1)</f>
        <v>=DISPIMG("ID_FDF3CFA489954627842A38B3A5C551A6",1)</v>
      </c>
    </row>
    <row r="235" s="2" customFormat="1" customHeight="1" spans="1:8">
      <c r="A235" s="13">
        <v>234</v>
      </c>
      <c r="B235" s="14" t="s">
        <v>225</v>
      </c>
      <c r="C235" s="14" t="s">
        <v>423</v>
      </c>
      <c r="D235" s="15" t="s">
        <v>448</v>
      </c>
      <c r="E235" s="15" t="s">
        <v>237</v>
      </c>
      <c r="F235" s="16" t="s">
        <v>449</v>
      </c>
      <c r="G235" s="17">
        <v>88</v>
      </c>
      <c r="H235" s="15" t="str">
        <f>_xlfn.DISPIMG("ID_666DC90CC69543CB9BB77865CD3A498C",1)</f>
        <v>=DISPIMG("ID_666DC90CC69543CB9BB77865CD3A498C",1)</v>
      </c>
    </row>
    <row r="236" s="2" customFormat="1" customHeight="1" spans="1:8">
      <c r="A236" s="13">
        <v>235</v>
      </c>
      <c r="B236" s="15" t="s">
        <v>225</v>
      </c>
      <c r="C236" s="14" t="s">
        <v>423</v>
      </c>
      <c r="D236" s="16" t="s">
        <v>450</v>
      </c>
      <c r="E236" s="15" t="s">
        <v>296</v>
      </c>
      <c r="F236" s="16" t="s">
        <v>446</v>
      </c>
      <c r="G236" s="17">
        <v>24.5</v>
      </c>
      <c r="H236" s="15" t="str">
        <f>_xlfn.DISPIMG("ID_C9B69CC894A441EDAAA9C3741873AF6F",1)</f>
        <v>=DISPIMG("ID_C9B69CC894A441EDAAA9C3741873AF6F",1)</v>
      </c>
    </row>
    <row r="237" s="2" customFormat="1" customHeight="1" spans="1:8">
      <c r="A237" s="13">
        <v>236</v>
      </c>
      <c r="B237" s="15" t="s">
        <v>225</v>
      </c>
      <c r="C237" s="14" t="s">
        <v>423</v>
      </c>
      <c r="D237" s="16" t="s">
        <v>451</v>
      </c>
      <c r="E237" s="15" t="s">
        <v>296</v>
      </c>
      <c r="F237" s="16" t="s">
        <v>446</v>
      </c>
      <c r="G237" s="17">
        <v>16</v>
      </c>
      <c r="H237" s="15" t="str">
        <f>_xlfn.DISPIMG("ID_E1FBC1E28DA84909BE7EF6F2939A9FA5",1)</f>
        <v>=DISPIMG("ID_E1FBC1E28DA84909BE7EF6F2939A9FA5",1)</v>
      </c>
    </row>
    <row r="238" s="2" customFormat="1" customHeight="1" spans="1:8">
      <c r="A238" s="13">
        <v>237</v>
      </c>
      <c r="B238" s="15" t="s">
        <v>225</v>
      </c>
      <c r="C238" s="14" t="s">
        <v>423</v>
      </c>
      <c r="D238" s="16" t="s">
        <v>452</v>
      </c>
      <c r="E238" s="15" t="s">
        <v>296</v>
      </c>
      <c r="F238" s="16" t="s">
        <v>232</v>
      </c>
      <c r="G238" s="17">
        <v>48</v>
      </c>
      <c r="H238" s="15" t="str">
        <f>_xlfn.DISPIMG("ID_2D2391D049FC4E789ACFB79751846816",1)</f>
        <v>=DISPIMG("ID_2D2391D049FC4E789ACFB79751846816",1)</v>
      </c>
    </row>
    <row r="239" s="2" customFormat="1" customHeight="1" spans="1:8">
      <c r="A239" s="13">
        <v>238</v>
      </c>
      <c r="B239" s="15" t="s">
        <v>225</v>
      </c>
      <c r="C239" s="14" t="s">
        <v>423</v>
      </c>
      <c r="D239" s="16" t="s">
        <v>453</v>
      </c>
      <c r="E239" s="15" t="s">
        <v>296</v>
      </c>
      <c r="F239" s="16" t="s">
        <v>232</v>
      </c>
      <c r="G239" s="17">
        <v>25</v>
      </c>
      <c r="H239" s="15" t="str">
        <f>_xlfn.DISPIMG("ID_C1CB4B03F17F42D6B11B520165D605D4",1)</f>
        <v>=DISPIMG("ID_C1CB4B03F17F42D6B11B520165D605D4",1)</v>
      </c>
    </row>
    <row r="240" s="2" customFormat="1" customHeight="1" spans="1:8">
      <c r="A240" s="13">
        <v>239</v>
      </c>
      <c r="B240" s="15" t="s">
        <v>225</v>
      </c>
      <c r="C240" s="14" t="s">
        <v>423</v>
      </c>
      <c r="D240" s="16" t="s">
        <v>454</v>
      </c>
      <c r="E240" s="15" t="s">
        <v>296</v>
      </c>
      <c r="F240" s="16" t="s">
        <v>232</v>
      </c>
      <c r="G240" s="17">
        <v>20</v>
      </c>
      <c r="H240" s="15" t="str">
        <f>_xlfn.DISPIMG("ID_8C743240461C40C99256B32A4A98142D",1)</f>
        <v>=DISPIMG("ID_8C743240461C40C99256B32A4A98142D",1)</v>
      </c>
    </row>
    <row r="241" s="2" customFormat="1" customHeight="1" spans="1:8">
      <c r="A241" s="13">
        <v>240</v>
      </c>
      <c r="B241" s="15" t="s">
        <v>225</v>
      </c>
      <c r="C241" s="14" t="s">
        <v>423</v>
      </c>
      <c r="D241" s="16" t="s">
        <v>455</v>
      </c>
      <c r="E241" s="15" t="s">
        <v>247</v>
      </c>
      <c r="F241" s="16" t="s">
        <v>248</v>
      </c>
      <c r="G241" s="17">
        <v>56</v>
      </c>
      <c r="H241" s="15" t="str">
        <f>_xlfn.DISPIMG("ID_6F875483CA894F82B511076EB54CDFD2",1)</f>
        <v>=DISPIMG("ID_6F875483CA894F82B511076EB54CDFD2",1)</v>
      </c>
    </row>
    <row r="242" s="2" customFormat="1" customHeight="1" spans="1:8">
      <c r="A242" s="13">
        <v>241</v>
      </c>
      <c r="B242" s="14" t="s">
        <v>225</v>
      </c>
      <c r="C242" s="14" t="s">
        <v>423</v>
      </c>
      <c r="D242" s="15" t="s">
        <v>456</v>
      </c>
      <c r="E242" s="15" t="s">
        <v>456</v>
      </c>
      <c r="F242" s="16" t="s">
        <v>250</v>
      </c>
      <c r="G242" s="17">
        <v>25</v>
      </c>
      <c r="H242" s="15" t="str">
        <f>_xlfn.DISPIMG("ID_7C5A741586F648A495CF488CDE699CA3",1)</f>
        <v>=DISPIMG("ID_7C5A741586F648A495CF488CDE699CA3",1)</v>
      </c>
    </row>
    <row r="243" s="2" customFormat="1" customHeight="1" spans="1:8">
      <c r="A243" s="13">
        <v>242</v>
      </c>
      <c r="B243" s="15" t="s">
        <v>225</v>
      </c>
      <c r="C243" s="14" t="s">
        <v>423</v>
      </c>
      <c r="D243" s="16" t="s">
        <v>456</v>
      </c>
      <c r="E243" s="15" t="s">
        <v>456</v>
      </c>
      <c r="F243" s="16" t="s">
        <v>457</v>
      </c>
      <c r="G243" s="17">
        <v>95</v>
      </c>
      <c r="H243" s="15" t="str">
        <f>_xlfn.DISPIMG("ID_D3D566092DE34BCD804EA9889739E64D",1)</f>
        <v>=DISPIMG("ID_D3D566092DE34BCD804EA9889739E64D",1)</v>
      </c>
    </row>
    <row r="244" s="2" customFormat="1" customHeight="1" spans="1:8">
      <c r="A244" s="13">
        <v>243</v>
      </c>
      <c r="B244" s="15" t="s">
        <v>225</v>
      </c>
      <c r="C244" s="14" t="s">
        <v>423</v>
      </c>
      <c r="D244" s="16" t="s">
        <v>458</v>
      </c>
      <c r="E244" s="15" t="s">
        <v>253</v>
      </c>
      <c r="F244" s="16" t="s">
        <v>248</v>
      </c>
      <c r="G244" s="17">
        <v>14.9</v>
      </c>
      <c r="H244" s="15" t="str">
        <f>_xlfn.DISPIMG("ID_93962351136247C299A66F2996AFC827",1)</f>
        <v>=DISPIMG("ID_93962351136247C299A66F2996AFC827",1)</v>
      </c>
    </row>
    <row r="245" s="2" customFormat="1" customHeight="1" spans="1:8">
      <c r="A245" s="13">
        <v>244</v>
      </c>
      <c r="B245" s="15" t="s">
        <v>225</v>
      </c>
      <c r="C245" s="14" t="s">
        <v>423</v>
      </c>
      <c r="D245" s="16" t="s">
        <v>459</v>
      </c>
      <c r="E245" s="15" t="s">
        <v>460</v>
      </c>
      <c r="F245" s="16" t="s">
        <v>461</v>
      </c>
      <c r="G245" s="17">
        <v>16</v>
      </c>
      <c r="H245" s="15" t="str">
        <f>_xlfn.DISPIMG("ID_D2FA4F94C0D2489A9C06CA78255AA87C",1)</f>
        <v>=DISPIMG("ID_D2FA4F94C0D2489A9C06CA78255AA87C",1)</v>
      </c>
    </row>
    <row r="246" s="2" customFormat="1" customHeight="1" spans="1:8">
      <c r="A246" s="13">
        <v>245</v>
      </c>
      <c r="B246" s="15" t="s">
        <v>225</v>
      </c>
      <c r="C246" s="14" t="s">
        <v>423</v>
      </c>
      <c r="D246" s="16" t="s">
        <v>462</v>
      </c>
      <c r="E246" s="15" t="s">
        <v>460</v>
      </c>
      <c r="F246" s="16" t="s">
        <v>463</v>
      </c>
      <c r="G246" s="17">
        <v>40</v>
      </c>
      <c r="H246" s="15" t="str">
        <f>_xlfn.DISPIMG("ID_BE8FA4B4DB054C45BF1A3F1802953ECD",1)</f>
        <v>=DISPIMG("ID_BE8FA4B4DB054C45BF1A3F1802953ECD",1)</v>
      </c>
    </row>
    <row r="247" s="5" customFormat="1" customHeight="1" spans="1:8">
      <c r="A247" s="13">
        <v>246</v>
      </c>
      <c r="B247" s="26" t="s">
        <v>225</v>
      </c>
      <c r="C247" s="29" t="s">
        <v>464</v>
      </c>
      <c r="D247" s="27" t="s">
        <v>465</v>
      </c>
      <c r="E247" s="26" t="s">
        <v>14</v>
      </c>
      <c r="F247" s="27" t="s">
        <v>466</v>
      </c>
      <c r="G247" s="28">
        <v>60</v>
      </c>
      <c r="H247" s="26"/>
    </row>
    <row r="248" s="5" customFormat="1" customHeight="1" spans="1:8">
      <c r="A248" s="13">
        <v>247</v>
      </c>
      <c r="B248" s="26" t="s">
        <v>225</v>
      </c>
      <c r="C248" s="29" t="s">
        <v>464</v>
      </c>
      <c r="D248" s="27" t="s">
        <v>467</v>
      </c>
      <c r="E248" s="26" t="s">
        <v>468</v>
      </c>
      <c r="F248" s="27" t="s">
        <v>22</v>
      </c>
      <c r="G248" s="28">
        <v>88</v>
      </c>
      <c r="H248" s="26"/>
    </row>
    <row r="249" s="2" customFormat="1" customHeight="1" spans="1:8">
      <c r="A249" s="13">
        <v>248</v>
      </c>
      <c r="B249" s="15" t="s">
        <v>225</v>
      </c>
      <c r="C249" s="14" t="s">
        <v>469</v>
      </c>
      <c r="D249" s="16" t="s">
        <v>470</v>
      </c>
      <c r="E249" s="15" t="s">
        <v>231</v>
      </c>
      <c r="F249" s="16" t="s">
        <v>445</v>
      </c>
      <c r="G249" s="17">
        <v>12.9</v>
      </c>
      <c r="H249" s="15" t="str">
        <f>_xlfn.DISPIMG("ID_7CE56E9B20DB4D0CBA8E58C4F0103563",1)</f>
        <v>=DISPIMG("ID_7CE56E9B20DB4D0CBA8E58C4F0103563",1)</v>
      </c>
    </row>
    <row r="250" s="2" customFormat="1" customHeight="1" spans="1:8">
      <c r="A250" s="13">
        <v>249</v>
      </c>
      <c r="B250" s="14" t="s">
        <v>225</v>
      </c>
      <c r="C250" s="14" t="s">
        <v>469</v>
      </c>
      <c r="D250" s="15" t="s">
        <v>471</v>
      </c>
      <c r="E250" s="15" t="s">
        <v>471</v>
      </c>
      <c r="F250" s="16" t="s">
        <v>472</v>
      </c>
      <c r="G250" s="17">
        <v>50</v>
      </c>
      <c r="H250" s="15" t="str">
        <f>_xlfn.DISPIMG("ID_F9D3A21AC47B4CF0B43C6C8BAFA0301F",1)</f>
        <v>=DISPIMG("ID_F9D3A21AC47B4CF0B43C6C8BAFA0301F",1)</v>
      </c>
    </row>
    <row r="251" s="2" customFormat="1" customHeight="1" spans="1:8">
      <c r="A251" s="13">
        <v>250</v>
      </c>
      <c r="B251" s="15" t="s">
        <v>225</v>
      </c>
      <c r="C251" s="14" t="s">
        <v>469</v>
      </c>
      <c r="D251" s="15" t="s">
        <v>473</v>
      </c>
      <c r="E251" s="15" t="s">
        <v>253</v>
      </c>
      <c r="F251" s="16" t="s">
        <v>474</v>
      </c>
      <c r="G251" s="17">
        <v>62</v>
      </c>
      <c r="H251" s="15" t="str">
        <f>_xlfn.DISPIMG("ID_63683EF24AA94B3A9CCD2C98C6A18847",1)</f>
        <v>=DISPIMG("ID_63683EF24AA94B3A9CCD2C98C6A18847",1)</v>
      </c>
    </row>
    <row r="252" s="2" customFormat="1" customHeight="1" spans="1:8">
      <c r="A252" s="13">
        <v>251</v>
      </c>
      <c r="B252" s="14" t="s">
        <v>225</v>
      </c>
      <c r="C252" s="14" t="s">
        <v>475</v>
      </c>
      <c r="D252" s="15" t="s">
        <v>476</v>
      </c>
      <c r="E252" s="15" t="s">
        <v>477</v>
      </c>
      <c r="F252" s="16" t="s">
        <v>478</v>
      </c>
      <c r="G252" s="17">
        <v>125</v>
      </c>
      <c r="H252" s="15" t="str">
        <f>_xlfn.DISPIMG("ID_95BE659DD914494BBE5FDAC5A960D573",1)</f>
        <v>=DISPIMG("ID_95BE659DD914494BBE5FDAC5A960D573",1)</v>
      </c>
    </row>
    <row r="253" s="2" customFormat="1" customHeight="1" spans="1:8">
      <c r="A253" s="13">
        <v>252</v>
      </c>
      <c r="B253" s="14" t="s">
        <v>225</v>
      </c>
      <c r="C253" s="14" t="s">
        <v>475</v>
      </c>
      <c r="D253" s="15" t="s">
        <v>479</v>
      </c>
      <c r="E253" s="15" t="s">
        <v>477</v>
      </c>
      <c r="F253" s="16" t="s">
        <v>281</v>
      </c>
      <c r="G253" s="17">
        <v>8.35</v>
      </c>
      <c r="H253" s="15" t="str">
        <f>_xlfn.DISPIMG("ID_2E48964ED9DB44CF904F3AEA105FC877",1)</f>
        <v>=DISPIMG("ID_2E48964ED9DB44CF904F3AEA105FC877",1)</v>
      </c>
    </row>
    <row r="254" s="2" customFormat="1" customHeight="1" spans="1:8">
      <c r="A254" s="13">
        <v>253</v>
      </c>
      <c r="B254" s="15" t="s">
        <v>225</v>
      </c>
      <c r="C254" s="14" t="s">
        <v>475</v>
      </c>
      <c r="D254" s="16" t="s">
        <v>480</v>
      </c>
      <c r="E254" s="15" t="s">
        <v>481</v>
      </c>
      <c r="F254" s="16" t="s">
        <v>482</v>
      </c>
      <c r="G254" s="17">
        <v>5.35</v>
      </c>
      <c r="H254" s="15" t="str">
        <f>_xlfn.DISPIMG("ID_C03AFB37F27D4FFB8458CAE5D90FF29F",1)</f>
        <v>=DISPIMG("ID_C03AFB37F27D4FFB8458CAE5D90FF29F",1)</v>
      </c>
    </row>
    <row r="255" s="2" customFormat="1" customHeight="1" spans="1:8">
      <c r="A255" s="13">
        <v>254</v>
      </c>
      <c r="B255" s="15" t="s">
        <v>225</v>
      </c>
      <c r="C255" s="14" t="s">
        <v>475</v>
      </c>
      <c r="D255" s="16" t="s">
        <v>483</v>
      </c>
      <c r="E255" s="15" t="s">
        <v>483</v>
      </c>
      <c r="F255" s="16" t="s">
        <v>484</v>
      </c>
      <c r="G255" s="17">
        <v>6.9</v>
      </c>
      <c r="H255" s="15" t="str">
        <f>_xlfn.DISPIMG("ID_A475603FED66480E9F798C9FDA3C9EF0",1)</f>
        <v>=DISPIMG("ID_A475603FED66480E9F798C9FDA3C9EF0",1)</v>
      </c>
    </row>
    <row r="256" s="2" customFormat="1" customHeight="1" spans="1:8">
      <c r="A256" s="13">
        <v>255</v>
      </c>
      <c r="B256" s="14" t="s">
        <v>225</v>
      </c>
      <c r="C256" s="14" t="s">
        <v>485</v>
      </c>
      <c r="D256" s="15" t="s">
        <v>486</v>
      </c>
      <c r="E256" s="15" t="s">
        <v>487</v>
      </c>
      <c r="F256" s="35" t="s">
        <v>488</v>
      </c>
      <c r="G256" s="25">
        <v>400</v>
      </c>
      <c r="H256" s="16" t="str">
        <f>_xlfn.DISPIMG("ID_9D46D8D6D5B748A59032E6FCB53D5B81",1)</f>
        <v>=DISPIMG("ID_9D46D8D6D5B748A59032E6FCB53D5B81",1)</v>
      </c>
    </row>
    <row r="257" s="2" customFormat="1" customHeight="1" spans="1:8">
      <c r="A257" s="13">
        <v>256</v>
      </c>
      <c r="B257" s="15" t="s">
        <v>225</v>
      </c>
      <c r="C257" s="14" t="s">
        <v>485</v>
      </c>
      <c r="D257" s="15" t="s">
        <v>489</v>
      </c>
      <c r="E257" s="15" t="s">
        <v>490</v>
      </c>
      <c r="F257" s="16" t="s">
        <v>491</v>
      </c>
      <c r="G257" s="17">
        <v>260</v>
      </c>
      <c r="H257" s="15" t="str">
        <f>_xlfn.DISPIMG("ID_28B696B54FE54305BE440A4225CF19B9",1)</f>
        <v>=DISPIMG("ID_28B696B54FE54305BE440A4225CF19B9",1)</v>
      </c>
    </row>
    <row r="258" s="2" customFormat="1" customHeight="1" spans="1:8">
      <c r="A258" s="13">
        <v>257</v>
      </c>
      <c r="B258" s="14" t="s">
        <v>225</v>
      </c>
      <c r="C258" s="14" t="s">
        <v>485</v>
      </c>
      <c r="D258" s="15" t="s">
        <v>492</v>
      </c>
      <c r="E258" s="15" t="s">
        <v>487</v>
      </c>
      <c r="F258" s="16" t="s">
        <v>362</v>
      </c>
      <c r="G258" s="17">
        <v>18</v>
      </c>
      <c r="H258" s="15" t="str">
        <f>_xlfn.DISPIMG("ID_02C41531C362466C97316ADC6AB02C08",1)</f>
        <v>=DISPIMG("ID_02C41531C362466C97316ADC6AB02C08",1)</v>
      </c>
    </row>
    <row r="259" s="2" customFormat="1" customHeight="1" spans="1:8">
      <c r="A259" s="13">
        <v>258</v>
      </c>
      <c r="B259" s="14" t="s">
        <v>225</v>
      </c>
      <c r="C259" s="14" t="s">
        <v>485</v>
      </c>
      <c r="D259" s="15" t="s">
        <v>492</v>
      </c>
      <c r="E259" s="15" t="s">
        <v>492</v>
      </c>
      <c r="F259" s="16" t="s">
        <v>493</v>
      </c>
      <c r="G259" s="17">
        <v>280</v>
      </c>
      <c r="H259" s="15" t="str">
        <f>_xlfn.DISPIMG("ID_E251DB7FD19B4DB582FEDFA1B4B9E8D4",1)</f>
        <v>=DISPIMG("ID_E251DB7FD19B4DB582FEDFA1B4B9E8D4",1)</v>
      </c>
    </row>
    <row r="260" s="2" customFormat="1" customHeight="1" spans="1:8">
      <c r="A260" s="13">
        <v>259</v>
      </c>
      <c r="B260" s="15" t="s">
        <v>225</v>
      </c>
      <c r="C260" s="14" t="s">
        <v>485</v>
      </c>
      <c r="D260" s="16" t="s">
        <v>494</v>
      </c>
      <c r="E260" s="15" t="s">
        <v>495</v>
      </c>
      <c r="F260" s="16" t="s">
        <v>496</v>
      </c>
      <c r="G260" s="17">
        <v>20.8</v>
      </c>
      <c r="H260" s="15" t="str">
        <f>_xlfn.DISPIMG("ID_3D8B3A35C7E1421F980A3E27FDBE7660",1)</f>
        <v>=DISPIMG("ID_3D8B3A35C7E1421F980A3E27FDBE7660",1)</v>
      </c>
    </row>
    <row r="261" s="2" customFormat="1" customHeight="1" spans="1:8">
      <c r="A261" s="13">
        <v>260</v>
      </c>
      <c r="B261" s="14" t="s">
        <v>225</v>
      </c>
      <c r="C261" s="14" t="s">
        <v>485</v>
      </c>
      <c r="D261" s="15" t="s">
        <v>497</v>
      </c>
      <c r="E261" s="15" t="s">
        <v>498</v>
      </c>
      <c r="F261" s="16" t="s">
        <v>499</v>
      </c>
      <c r="G261" s="17">
        <v>40</v>
      </c>
      <c r="H261" s="15" t="str">
        <f>_xlfn.DISPIMG("ID_A37C4DA5B2CE422BB1A7A9C9D6FDB166",1)</f>
        <v>=DISPIMG("ID_A37C4DA5B2CE422BB1A7A9C9D6FDB166",1)</v>
      </c>
    </row>
    <row r="262" s="2" customFormat="1" customHeight="1" spans="1:8">
      <c r="A262" s="13">
        <v>261</v>
      </c>
      <c r="B262" s="15" t="s">
        <v>225</v>
      </c>
      <c r="C262" s="14" t="s">
        <v>485</v>
      </c>
      <c r="D262" s="16" t="s">
        <v>500</v>
      </c>
      <c r="E262" s="15" t="s">
        <v>329</v>
      </c>
      <c r="F262" s="16" t="s">
        <v>501</v>
      </c>
      <c r="G262" s="17">
        <v>18</v>
      </c>
      <c r="H262" s="15" t="str">
        <f>_xlfn.DISPIMG("ID_3EB5B2BC05C549129D1AE8CD432ACA79",1)</f>
        <v>=DISPIMG("ID_3EB5B2BC05C549129D1AE8CD432ACA79",1)</v>
      </c>
    </row>
    <row r="263" s="2" customFormat="1" customHeight="1" spans="1:8">
      <c r="A263" s="13">
        <v>262</v>
      </c>
      <c r="B263" s="14" t="s">
        <v>225</v>
      </c>
      <c r="C263" s="14" t="s">
        <v>485</v>
      </c>
      <c r="D263" s="14" t="s">
        <v>502</v>
      </c>
      <c r="E263" s="15" t="s">
        <v>503</v>
      </c>
      <c r="F263" s="16" t="s">
        <v>277</v>
      </c>
      <c r="G263" s="17">
        <v>14</v>
      </c>
      <c r="H263" s="15" t="str">
        <f>_xlfn.DISPIMG("ID_3898CCCF9ED24C18B78C4CE65674FB6F",1)</f>
        <v>=DISPIMG("ID_3898CCCF9ED24C18B78C4CE65674FB6F",1)</v>
      </c>
    </row>
    <row r="264" s="2" customFormat="1" customHeight="1" spans="1:8">
      <c r="A264" s="13">
        <v>263</v>
      </c>
      <c r="B264" s="15" t="s">
        <v>225</v>
      </c>
      <c r="C264" s="14" t="s">
        <v>485</v>
      </c>
      <c r="D264" s="15" t="s">
        <v>504</v>
      </c>
      <c r="E264" s="15" t="s">
        <v>329</v>
      </c>
      <c r="F264" s="16" t="s">
        <v>505</v>
      </c>
      <c r="G264" s="17">
        <v>120</v>
      </c>
      <c r="H264" s="15" t="str">
        <f>_xlfn.DISPIMG("ID_EBF5F61E41D143C7A4808CFD5090A568",1)</f>
        <v>=DISPIMG("ID_EBF5F61E41D143C7A4808CFD5090A568",1)</v>
      </c>
    </row>
    <row r="265" s="2" customFormat="1" customHeight="1" spans="1:8">
      <c r="A265" s="13">
        <v>264</v>
      </c>
      <c r="B265" s="14" t="s">
        <v>225</v>
      </c>
      <c r="C265" s="14" t="s">
        <v>485</v>
      </c>
      <c r="D265" s="15" t="s">
        <v>506</v>
      </c>
      <c r="E265" s="15" t="s">
        <v>507</v>
      </c>
      <c r="F265" s="16" t="s">
        <v>508</v>
      </c>
      <c r="G265" s="17">
        <v>75</v>
      </c>
      <c r="H265" s="15" t="str">
        <f>_xlfn.DISPIMG("ID_DC31741293F34F76BF05A93C86F3AF63",1)</f>
        <v>=DISPIMG("ID_DC31741293F34F76BF05A93C86F3AF63",1)</v>
      </c>
    </row>
    <row r="266" s="5" customFormat="1" customHeight="1" spans="1:8">
      <c r="A266" s="13">
        <v>265</v>
      </c>
      <c r="B266" s="29" t="s">
        <v>225</v>
      </c>
      <c r="C266" s="29" t="s">
        <v>485</v>
      </c>
      <c r="D266" s="26" t="s">
        <v>509</v>
      </c>
      <c r="E266" s="26" t="s">
        <v>487</v>
      </c>
      <c r="F266" s="27" t="s">
        <v>510</v>
      </c>
      <c r="G266" s="28">
        <v>20</v>
      </c>
      <c r="H266" s="26"/>
    </row>
    <row r="267" s="2" customFormat="1" customHeight="1" spans="1:8">
      <c r="A267" s="13">
        <v>266</v>
      </c>
      <c r="B267" s="14" t="s">
        <v>225</v>
      </c>
      <c r="C267" s="14" t="s">
        <v>511</v>
      </c>
      <c r="D267" s="15" t="s">
        <v>512</v>
      </c>
      <c r="E267" s="15"/>
      <c r="F267" s="16" t="s">
        <v>85</v>
      </c>
      <c r="G267" s="17">
        <v>8.49</v>
      </c>
      <c r="H267" s="15" t="str">
        <f>_xlfn.DISPIMG("ID_FB07ABB4311D452BBB9A8FEF7005DBA9",1)</f>
        <v>=DISPIMG("ID_FB07ABB4311D452BBB9A8FEF7005DBA9",1)</v>
      </c>
    </row>
    <row r="268" s="2" customFormat="1" customHeight="1" spans="1:8">
      <c r="A268" s="13">
        <v>267</v>
      </c>
      <c r="B268" s="15" t="s">
        <v>225</v>
      </c>
      <c r="C268" s="14" t="s">
        <v>511</v>
      </c>
      <c r="D268" s="16" t="s">
        <v>513</v>
      </c>
      <c r="E268" s="15" t="s">
        <v>514</v>
      </c>
      <c r="F268" s="16" t="s">
        <v>515</v>
      </c>
      <c r="G268" s="17">
        <v>80</v>
      </c>
      <c r="H268" s="15" t="str">
        <f>_xlfn.DISPIMG("ID_C51F4D2046554CEF855624FB067DD50A",1)</f>
        <v>=DISPIMG("ID_C51F4D2046554CEF855624FB067DD50A",1)</v>
      </c>
    </row>
    <row r="269" s="2" customFormat="1" customHeight="1" spans="1:8">
      <c r="A269" s="13">
        <v>268</v>
      </c>
      <c r="B269" s="15" t="s">
        <v>225</v>
      </c>
      <c r="C269" s="14" t="s">
        <v>511</v>
      </c>
      <c r="D269" s="16" t="s">
        <v>516</v>
      </c>
      <c r="E269" s="15"/>
      <c r="F269" s="16" t="s">
        <v>517</v>
      </c>
      <c r="G269" s="17">
        <v>3.8</v>
      </c>
      <c r="H269" s="15" t="str">
        <f>_xlfn.DISPIMG("ID_1562D4D6D0EB42129CDCAFEC1ADD5617",1)</f>
        <v>=DISPIMG("ID_1562D4D6D0EB42129CDCAFEC1ADD5617",1)</v>
      </c>
    </row>
    <row r="270" s="2" customFormat="1" customHeight="1" spans="1:8">
      <c r="A270" s="13">
        <v>269</v>
      </c>
      <c r="B270" s="15" t="s">
        <v>225</v>
      </c>
      <c r="C270" s="14" t="s">
        <v>511</v>
      </c>
      <c r="D270" s="16" t="s">
        <v>518</v>
      </c>
      <c r="E270" s="15"/>
      <c r="F270" s="16" t="s">
        <v>519</v>
      </c>
      <c r="G270" s="17">
        <v>5.995</v>
      </c>
      <c r="H270" s="15" t="str">
        <f>_xlfn.DISPIMG("ID_7097117CAA564804AF13C80A516786B3",1)</f>
        <v>=DISPIMG("ID_7097117CAA564804AF13C80A516786B3",1)</v>
      </c>
    </row>
    <row r="271" s="2" customFormat="1" customHeight="1" spans="1:8">
      <c r="A271" s="13">
        <v>270</v>
      </c>
      <c r="B271" s="15" t="s">
        <v>225</v>
      </c>
      <c r="C271" s="14" t="s">
        <v>511</v>
      </c>
      <c r="D271" s="16" t="s">
        <v>520</v>
      </c>
      <c r="E271" s="15"/>
      <c r="F271" s="16" t="s">
        <v>521</v>
      </c>
      <c r="G271" s="17">
        <v>5.99</v>
      </c>
      <c r="H271" s="15" t="str">
        <f>_xlfn.DISPIMG("ID_2C6587D846A84C95872CE9419B74A8C0",1)</f>
        <v>=DISPIMG("ID_2C6587D846A84C95872CE9419B74A8C0",1)</v>
      </c>
    </row>
    <row r="272" s="2" customFormat="1" customHeight="1" spans="1:8">
      <c r="A272" s="13">
        <v>271</v>
      </c>
      <c r="B272" s="15" t="s">
        <v>225</v>
      </c>
      <c r="C272" s="14" t="s">
        <v>522</v>
      </c>
      <c r="D272" s="16" t="s">
        <v>523</v>
      </c>
      <c r="E272" s="15" t="s">
        <v>524</v>
      </c>
      <c r="F272" s="16" t="s">
        <v>421</v>
      </c>
      <c r="G272" s="17">
        <v>12.95</v>
      </c>
      <c r="H272" s="15" t="str">
        <f>_xlfn.DISPIMG("ID_7285848884FE4AC0B7BACD83C79AFE58",1)</f>
        <v>=DISPIMG("ID_7285848884FE4AC0B7BACD83C79AFE58",1)</v>
      </c>
    </row>
    <row r="273" s="2" customFormat="1" customHeight="1" spans="1:8">
      <c r="A273" s="13">
        <v>272</v>
      </c>
      <c r="B273" s="15" t="s">
        <v>225</v>
      </c>
      <c r="C273" s="14" t="s">
        <v>522</v>
      </c>
      <c r="D273" s="15" t="s">
        <v>525</v>
      </c>
      <c r="E273" s="15" t="s">
        <v>526</v>
      </c>
      <c r="F273" s="16" t="s">
        <v>527</v>
      </c>
      <c r="G273" s="17">
        <v>200</v>
      </c>
      <c r="H273" s="15" t="str">
        <f>_xlfn.DISPIMG("ID_644C85D59D4B4E12B68A30EF59E709BD",1)</f>
        <v>=DISPIMG("ID_644C85D59D4B4E12B68A30EF59E709BD",1)</v>
      </c>
    </row>
    <row r="274" s="2" customFormat="1" customHeight="1" spans="1:8">
      <c r="A274" s="13">
        <v>273</v>
      </c>
      <c r="B274" s="15" t="s">
        <v>225</v>
      </c>
      <c r="C274" s="14" t="s">
        <v>522</v>
      </c>
      <c r="D274" s="15" t="s">
        <v>528</v>
      </c>
      <c r="E274" s="15" t="s">
        <v>529</v>
      </c>
      <c r="F274" s="35" t="s">
        <v>310</v>
      </c>
      <c r="G274" s="25">
        <v>28</v>
      </c>
      <c r="H274" s="16" t="str">
        <f>_xlfn.DISPIMG("ID_00531B07083B4C37A6E92E37A8130046",1)</f>
        <v>=DISPIMG("ID_00531B07083B4C37A6E92E37A8130046",1)</v>
      </c>
    </row>
    <row r="275" s="2" customFormat="1" customHeight="1" spans="1:8">
      <c r="A275" s="13">
        <v>274</v>
      </c>
      <c r="B275" s="15" t="s">
        <v>225</v>
      </c>
      <c r="C275" s="14" t="s">
        <v>530</v>
      </c>
      <c r="D275" s="16" t="s">
        <v>531</v>
      </c>
      <c r="E275" s="15" t="s">
        <v>532</v>
      </c>
      <c r="F275" s="16" t="s">
        <v>533</v>
      </c>
      <c r="G275" s="17">
        <v>3.8</v>
      </c>
      <c r="H275" s="15" t="str">
        <f>_xlfn.DISPIMG("ID_3143D98781FC47D1B13D682D125D2842",1)</f>
        <v>=DISPIMG("ID_3143D98781FC47D1B13D682D125D2842",1)</v>
      </c>
    </row>
    <row r="276" s="2" customFormat="1" customHeight="1" spans="1:8">
      <c r="A276" s="13">
        <v>275</v>
      </c>
      <c r="B276" s="15" t="s">
        <v>225</v>
      </c>
      <c r="C276" s="14" t="s">
        <v>530</v>
      </c>
      <c r="D276" s="16" t="s">
        <v>534</v>
      </c>
      <c r="E276" s="15" t="s">
        <v>532</v>
      </c>
      <c r="F276" s="16" t="s">
        <v>330</v>
      </c>
      <c r="G276" s="17">
        <v>4.5</v>
      </c>
      <c r="H276" s="15" t="str">
        <f>_xlfn.DISPIMG("ID_9C0745CFC2894ED6B46743E5E543EE58",1)</f>
        <v>=DISPIMG("ID_9C0745CFC2894ED6B46743E5E543EE58",1)</v>
      </c>
    </row>
    <row r="277" s="2" customFormat="1" customHeight="1" spans="1:8">
      <c r="A277" s="13">
        <v>276</v>
      </c>
      <c r="B277" s="15" t="s">
        <v>225</v>
      </c>
      <c r="C277" s="14" t="s">
        <v>530</v>
      </c>
      <c r="D277" s="15" t="s">
        <v>535</v>
      </c>
      <c r="E277" s="15" t="s">
        <v>535</v>
      </c>
      <c r="F277" s="16" t="s">
        <v>536</v>
      </c>
      <c r="G277" s="25">
        <v>63</v>
      </c>
      <c r="H277" s="16" t="str">
        <f>_xlfn.DISPIMG("ID_A78ED362086149178A6DEA899DD01287",1)</f>
        <v>=DISPIMG("ID_A78ED362086149178A6DEA899DD01287",1)</v>
      </c>
    </row>
    <row r="278" s="2" customFormat="1" customHeight="1" spans="1:8">
      <c r="A278" s="13">
        <v>277</v>
      </c>
      <c r="B278" s="14" t="s">
        <v>225</v>
      </c>
      <c r="C278" s="14" t="s">
        <v>530</v>
      </c>
      <c r="D278" s="15" t="s">
        <v>537</v>
      </c>
      <c r="E278" s="15" t="s">
        <v>538</v>
      </c>
      <c r="F278" s="16" t="s">
        <v>539</v>
      </c>
      <c r="G278" s="17">
        <v>38</v>
      </c>
      <c r="H278" s="15" t="str">
        <f>_xlfn.DISPIMG("ID_396A2416CE6146ED8E64E02E7A919460",1)</f>
        <v>=DISPIMG("ID_396A2416CE6146ED8E64E02E7A919460",1)</v>
      </c>
    </row>
    <row r="279" s="2" customFormat="1" customHeight="1" spans="1:8">
      <c r="A279" s="13">
        <v>278</v>
      </c>
      <c r="B279" s="15" t="s">
        <v>225</v>
      </c>
      <c r="C279" s="14" t="s">
        <v>530</v>
      </c>
      <c r="D279" s="15" t="s">
        <v>540</v>
      </c>
      <c r="E279" s="15" t="s">
        <v>541</v>
      </c>
      <c r="F279" s="16" t="s">
        <v>542</v>
      </c>
      <c r="G279" s="17">
        <v>45</v>
      </c>
      <c r="H279" s="15" t="str">
        <f>_xlfn.DISPIMG("ID_92D1692EA46547D5A9344D241411233F",1)</f>
        <v>=DISPIMG("ID_92D1692EA46547D5A9344D241411233F",1)</v>
      </c>
    </row>
    <row r="280" s="2" customFormat="1" customHeight="1" spans="1:8">
      <c r="A280" s="13">
        <v>279</v>
      </c>
      <c r="B280" s="14" t="s">
        <v>225</v>
      </c>
      <c r="C280" s="14" t="s">
        <v>530</v>
      </c>
      <c r="D280" s="16" t="s">
        <v>543</v>
      </c>
      <c r="E280" s="15" t="s">
        <v>544</v>
      </c>
      <c r="F280" s="16" t="s">
        <v>545</v>
      </c>
      <c r="G280" s="17">
        <v>55</v>
      </c>
      <c r="H280" s="15" t="str">
        <f>_xlfn.DISPIMG("ID_89DEF79DA291487AA4501ACD718D093F",1)</f>
        <v>=DISPIMG("ID_89DEF79DA291487AA4501ACD718D093F",1)</v>
      </c>
    </row>
    <row r="281" s="2" customFormat="1" customHeight="1" spans="1:8">
      <c r="A281" s="13">
        <v>280</v>
      </c>
      <c r="B281" s="15" t="s">
        <v>320</v>
      </c>
      <c r="C281" s="15" t="s">
        <v>546</v>
      </c>
      <c r="D281" s="16" t="s">
        <v>547</v>
      </c>
      <c r="E281" s="15" t="s">
        <v>548</v>
      </c>
      <c r="F281" s="16" t="s">
        <v>30</v>
      </c>
      <c r="G281" s="17">
        <v>90</v>
      </c>
      <c r="H281" s="15" t="str">
        <f>_xlfn.DISPIMG("ID_87EF98E01D6F424B8EECDBDE1870CC5E",1)</f>
        <v>=DISPIMG("ID_87EF98E01D6F424B8EECDBDE1870CC5E",1)</v>
      </c>
    </row>
    <row r="282" s="2" customFormat="1" customHeight="1" spans="1:8">
      <c r="A282" s="13">
        <v>281</v>
      </c>
      <c r="B282" s="15" t="s">
        <v>320</v>
      </c>
      <c r="C282" s="15" t="s">
        <v>546</v>
      </c>
      <c r="D282" s="15" t="s">
        <v>549</v>
      </c>
      <c r="E282" s="15" t="s">
        <v>370</v>
      </c>
      <c r="F282" s="16" t="s">
        <v>310</v>
      </c>
      <c r="G282" s="17">
        <v>15</v>
      </c>
      <c r="H282" s="15" t="str">
        <f>_xlfn.DISPIMG("ID_5756A9AF753D406DBE93A211C135F725",1)</f>
        <v>=DISPIMG("ID_5756A9AF753D406DBE93A211C135F725",1)</v>
      </c>
    </row>
    <row r="283" s="2" customFormat="1" customHeight="1" spans="1:8">
      <c r="A283" s="13">
        <v>282</v>
      </c>
      <c r="B283" s="15" t="s">
        <v>320</v>
      </c>
      <c r="C283" s="15" t="s">
        <v>546</v>
      </c>
      <c r="D283" s="16" t="s">
        <v>550</v>
      </c>
      <c r="E283" s="15" t="s">
        <v>551</v>
      </c>
      <c r="F283" s="16" t="s">
        <v>44</v>
      </c>
      <c r="G283" s="17">
        <v>195</v>
      </c>
      <c r="H283" s="15" t="str">
        <f>_xlfn.DISPIMG("ID_C34EEDA8D41F433380E65434D91C2020",1)</f>
        <v>=DISPIMG("ID_C34EEDA8D41F433380E65434D91C2020",1)</v>
      </c>
    </row>
    <row r="284" s="2" customFormat="1" customHeight="1" spans="1:8">
      <c r="A284" s="13">
        <v>283</v>
      </c>
      <c r="B284" s="15" t="s">
        <v>320</v>
      </c>
      <c r="C284" s="15" t="s">
        <v>546</v>
      </c>
      <c r="D284" s="16" t="s">
        <v>552</v>
      </c>
      <c r="E284" s="15"/>
      <c r="F284" s="16" t="s">
        <v>553</v>
      </c>
      <c r="G284" s="17">
        <v>6.29</v>
      </c>
      <c r="H284" s="15" t="str">
        <f>_xlfn.DISPIMG("ID_42E2689A97C141B7985B5AAA41E8C768",1)</f>
        <v>=DISPIMG("ID_42E2689A97C141B7985B5AAA41E8C768",1)</v>
      </c>
    </row>
    <row r="285" s="2" customFormat="1" customHeight="1" spans="1:8">
      <c r="A285" s="13">
        <v>284</v>
      </c>
      <c r="B285" s="15" t="s">
        <v>320</v>
      </c>
      <c r="C285" s="15" t="s">
        <v>546</v>
      </c>
      <c r="D285" s="16" t="s">
        <v>554</v>
      </c>
      <c r="E285" s="15"/>
      <c r="F285" s="16" t="s">
        <v>85</v>
      </c>
      <c r="G285" s="17">
        <v>32</v>
      </c>
      <c r="H285" s="15" t="str">
        <f>_xlfn.DISPIMG("ID_D79397A06F28413083F277E15EA4A2E2",1)</f>
        <v>=DISPIMG("ID_D79397A06F28413083F277E15EA4A2E2",1)</v>
      </c>
    </row>
    <row r="286" s="2" customFormat="1" customHeight="1" spans="1:8">
      <c r="A286" s="13">
        <v>285</v>
      </c>
      <c r="B286" s="15" t="s">
        <v>320</v>
      </c>
      <c r="C286" s="15" t="s">
        <v>546</v>
      </c>
      <c r="D286" s="16" t="s">
        <v>555</v>
      </c>
      <c r="E286" s="15"/>
      <c r="F286" s="16" t="s">
        <v>556</v>
      </c>
      <c r="G286" s="17">
        <v>5.8</v>
      </c>
      <c r="H286" s="15" t="str">
        <f>_xlfn.DISPIMG("ID_3D5DDF6AF52548FEA8DB9AEBEAEDA14B",1)</f>
        <v>=DISPIMG("ID_3D5DDF6AF52548FEA8DB9AEBEAEDA14B",1)</v>
      </c>
    </row>
    <row r="287" s="5" customFormat="1" customHeight="1" spans="1:8">
      <c r="A287" s="13">
        <v>286</v>
      </c>
      <c r="B287" s="26" t="s">
        <v>557</v>
      </c>
      <c r="C287" s="26" t="s">
        <v>546</v>
      </c>
      <c r="D287" s="26" t="s">
        <v>558</v>
      </c>
      <c r="E287" s="26" t="s">
        <v>559</v>
      </c>
      <c r="F287" s="27" t="s">
        <v>277</v>
      </c>
      <c r="G287" s="36">
        <v>22</v>
      </c>
      <c r="H287" s="37"/>
    </row>
    <row r="288" s="2" customFormat="1" customHeight="1" spans="1:8">
      <c r="A288" s="13">
        <v>287</v>
      </c>
      <c r="B288" s="15" t="s">
        <v>320</v>
      </c>
      <c r="C288" s="15" t="s">
        <v>560</v>
      </c>
      <c r="D288" s="15" t="s">
        <v>561</v>
      </c>
      <c r="E288" s="15"/>
      <c r="F288" s="16" t="s">
        <v>85</v>
      </c>
      <c r="G288" s="31">
        <v>5</v>
      </c>
      <c r="H288" s="32" t="str">
        <f>_xlfn.DISPIMG("ID_522B4E70E4BA495BA4044641FA62166C",1)</f>
        <v>=DISPIMG("ID_522B4E70E4BA495BA4044641FA62166C",1)</v>
      </c>
    </row>
    <row r="289" s="2" customFormat="1" customHeight="1" spans="1:8">
      <c r="A289" s="13">
        <v>288</v>
      </c>
      <c r="B289" s="15" t="s">
        <v>320</v>
      </c>
      <c r="C289" s="15" t="s">
        <v>562</v>
      </c>
      <c r="D289" s="16" t="s">
        <v>563</v>
      </c>
      <c r="E289" s="15"/>
      <c r="F289" s="16" t="s">
        <v>564</v>
      </c>
      <c r="G289" s="17">
        <v>6.32666666666667</v>
      </c>
      <c r="H289" s="15" t="str">
        <f>_xlfn.DISPIMG("ID_32E0567227FB4EE5A0A739CFDA9B5B3F",1)</f>
        <v>=DISPIMG("ID_32E0567227FB4EE5A0A739CFDA9B5B3F",1)</v>
      </c>
    </row>
    <row r="290" s="2" customFormat="1" customHeight="1" spans="1:8">
      <c r="A290" s="13">
        <v>289</v>
      </c>
      <c r="B290" s="15" t="s">
        <v>320</v>
      </c>
      <c r="C290" s="15" t="s">
        <v>562</v>
      </c>
      <c r="D290" s="15" t="s">
        <v>565</v>
      </c>
      <c r="E290" s="15" t="s">
        <v>565</v>
      </c>
      <c r="F290" s="16" t="s">
        <v>566</v>
      </c>
      <c r="G290" s="25">
        <v>400</v>
      </c>
      <c r="H290" s="16" t="str">
        <f>_xlfn.DISPIMG("ID_6EB8FCB62EDA42AC8E8B96E0EE9FB687",1)</f>
        <v>=DISPIMG("ID_6EB8FCB62EDA42AC8E8B96E0EE9FB687",1)</v>
      </c>
    </row>
    <row r="291" s="2" customFormat="1" customHeight="1" spans="1:8">
      <c r="A291" s="13">
        <v>290</v>
      </c>
      <c r="B291" s="15" t="s">
        <v>320</v>
      </c>
      <c r="C291" s="15" t="s">
        <v>562</v>
      </c>
      <c r="D291" s="16" t="s">
        <v>567</v>
      </c>
      <c r="E291" s="15"/>
      <c r="F291" s="16" t="s">
        <v>568</v>
      </c>
      <c r="G291" s="17">
        <v>4.96</v>
      </c>
      <c r="H291" s="15" t="str">
        <f>_xlfn.DISPIMG("ID_52C68A8A22B3444C857DE3B8A8636C71",1)</f>
        <v>=DISPIMG("ID_52C68A8A22B3444C857DE3B8A8636C71",1)</v>
      </c>
    </row>
    <row r="292" s="2" customFormat="1" customHeight="1" spans="1:8">
      <c r="A292" s="13">
        <v>291</v>
      </c>
      <c r="B292" s="16" t="s">
        <v>320</v>
      </c>
      <c r="C292" s="15" t="s">
        <v>562</v>
      </c>
      <c r="D292" s="15" t="s">
        <v>569</v>
      </c>
      <c r="E292" s="15" t="s">
        <v>569</v>
      </c>
      <c r="F292" s="16" t="s">
        <v>30</v>
      </c>
      <c r="G292" s="25">
        <v>200</v>
      </c>
      <c r="H292" s="16" t="str">
        <f>_xlfn.DISPIMG("ID_9E345A6E469043A8BA774889744D0435",1)</f>
        <v>=DISPIMG("ID_9E345A6E469043A8BA774889744D0435",1)</v>
      </c>
    </row>
    <row r="293" s="2" customFormat="1" customHeight="1" spans="1:8">
      <c r="A293" s="13">
        <v>292</v>
      </c>
      <c r="B293" s="15" t="s">
        <v>320</v>
      </c>
      <c r="C293" s="15" t="s">
        <v>562</v>
      </c>
      <c r="D293" s="16" t="s">
        <v>570</v>
      </c>
      <c r="E293" s="15"/>
      <c r="F293" s="16" t="s">
        <v>571</v>
      </c>
      <c r="G293" s="17">
        <v>7.94</v>
      </c>
      <c r="H293" s="15" t="str">
        <f>_xlfn.DISPIMG("ID_094523E5485948F5A218F5C8A4EDD7F1",1)</f>
        <v>=DISPIMG("ID_094523E5485948F5A218F5C8A4EDD7F1",1)</v>
      </c>
    </row>
    <row r="294" s="2" customFormat="1" customHeight="1" spans="1:8">
      <c r="A294" s="13">
        <v>293</v>
      </c>
      <c r="B294" s="15" t="s">
        <v>320</v>
      </c>
      <c r="C294" s="15" t="s">
        <v>562</v>
      </c>
      <c r="D294" s="16" t="s">
        <v>572</v>
      </c>
      <c r="E294" s="15"/>
      <c r="F294" s="16" t="s">
        <v>573</v>
      </c>
      <c r="G294" s="17">
        <v>17.5666666666667</v>
      </c>
      <c r="H294" s="15" t="str">
        <f>_xlfn.DISPIMG("ID_10934663F6F9439A8B62FF8EA5430AB6",1)</f>
        <v>=DISPIMG("ID_10934663F6F9439A8B62FF8EA5430AB6",1)</v>
      </c>
    </row>
    <row r="295" s="2" customFormat="1" customHeight="1" spans="1:8">
      <c r="A295" s="13">
        <v>294</v>
      </c>
      <c r="B295" s="15" t="s">
        <v>320</v>
      </c>
      <c r="C295" s="15" t="s">
        <v>562</v>
      </c>
      <c r="D295" s="15" t="s">
        <v>574</v>
      </c>
      <c r="E295" s="15"/>
      <c r="F295" s="16" t="s">
        <v>85</v>
      </c>
      <c r="G295" s="17">
        <v>7</v>
      </c>
      <c r="H295" s="15" t="str">
        <f>_xlfn.DISPIMG("ID_B5AB9E82EEC542EB806E38233DE4BB66",1)</f>
        <v>=DISPIMG("ID_B5AB9E82EEC542EB806E38233DE4BB66",1)</v>
      </c>
    </row>
    <row r="296" s="2" customFormat="1" customHeight="1" spans="1:8">
      <c r="A296" s="13">
        <v>295</v>
      </c>
      <c r="B296" s="15" t="s">
        <v>320</v>
      </c>
      <c r="C296" s="15" t="s">
        <v>562</v>
      </c>
      <c r="D296" s="16" t="s">
        <v>575</v>
      </c>
      <c r="E296" s="15"/>
      <c r="F296" s="16" t="s">
        <v>576</v>
      </c>
      <c r="G296" s="17">
        <v>6</v>
      </c>
      <c r="H296" s="15" t="str">
        <f>_xlfn.DISPIMG("ID_0B6585821F764F7EAB5F5A87796F9719",1)</f>
        <v>=DISPIMG("ID_0B6585821F764F7EAB5F5A87796F9719",1)</v>
      </c>
    </row>
    <row r="297" s="2" customFormat="1" customHeight="1" spans="1:8">
      <c r="A297" s="13">
        <v>296</v>
      </c>
      <c r="B297" s="15" t="s">
        <v>320</v>
      </c>
      <c r="C297" s="15" t="s">
        <v>562</v>
      </c>
      <c r="D297" s="16" t="s">
        <v>577</v>
      </c>
      <c r="E297" s="15"/>
      <c r="F297" s="16" t="s">
        <v>578</v>
      </c>
      <c r="G297" s="17">
        <v>3.795</v>
      </c>
      <c r="H297" s="15" t="str">
        <f>_xlfn.DISPIMG("ID_7BF5EB0D1E7944A089C07FD12BBF377D",1)</f>
        <v>=DISPIMG("ID_7BF5EB0D1E7944A089C07FD12BBF377D",1)</v>
      </c>
    </row>
    <row r="298" s="2" customFormat="1" customHeight="1" spans="1:8">
      <c r="A298" s="13">
        <v>297</v>
      </c>
      <c r="B298" s="15" t="s">
        <v>320</v>
      </c>
      <c r="C298" s="15" t="s">
        <v>562</v>
      </c>
      <c r="D298" s="16" t="s">
        <v>579</v>
      </c>
      <c r="E298" s="15"/>
      <c r="F298" s="16" t="s">
        <v>580</v>
      </c>
      <c r="G298" s="17">
        <v>10.2933333333333</v>
      </c>
      <c r="H298" s="15" t="str">
        <f>_xlfn.DISPIMG("ID_702CE3F2C9644B3DB1A0AC624D516EA5",1)</f>
        <v>=DISPIMG("ID_702CE3F2C9644B3DB1A0AC624D516EA5",1)</v>
      </c>
    </row>
    <row r="299" s="2" customFormat="1" customHeight="1" spans="1:8">
      <c r="A299" s="13">
        <v>298</v>
      </c>
      <c r="B299" s="15" t="s">
        <v>320</v>
      </c>
      <c r="C299" s="15" t="s">
        <v>581</v>
      </c>
      <c r="D299" s="16" t="s">
        <v>582</v>
      </c>
      <c r="E299" s="15"/>
      <c r="F299" s="16" t="s">
        <v>583</v>
      </c>
      <c r="G299" s="17">
        <v>15.45</v>
      </c>
      <c r="H299" s="15" t="str">
        <f>_xlfn.DISPIMG("ID_76B80182A7E741A18E52AD0130B0E866",1)</f>
        <v>=DISPIMG("ID_76B80182A7E741A18E52AD0130B0E866",1)</v>
      </c>
    </row>
    <row r="300" s="2" customFormat="1" customHeight="1" spans="1:8">
      <c r="A300" s="13">
        <v>299</v>
      </c>
      <c r="B300" s="15" t="s">
        <v>320</v>
      </c>
      <c r="C300" s="15" t="s">
        <v>581</v>
      </c>
      <c r="D300" s="16" t="s">
        <v>584</v>
      </c>
      <c r="E300" s="15" t="s">
        <v>585</v>
      </c>
      <c r="F300" s="16" t="s">
        <v>586</v>
      </c>
      <c r="G300" s="17">
        <v>135</v>
      </c>
      <c r="H300" s="15" t="str">
        <f>_xlfn.DISPIMG("ID_3441918695F54756BF7E76A555A5AC18",1)</f>
        <v>=DISPIMG("ID_3441918695F54756BF7E76A555A5AC18",1)</v>
      </c>
    </row>
    <row r="301" s="2" customFormat="1" customHeight="1" spans="1:8">
      <c r="A301" s="13">
        <v>300</v>
      </c>
      <c r="B301" s="15" t="s">
        <v>320</v>
      </c>
      <c r="C301" s="15" t="s">
        <v>581</v>
      </c>
      <c r="D301" s="16" t="s">
        <v>587</v>
      </c>
      <c r="E301" s="15"/>
      <c r="F301" s="16" t="s">
        <v>588</v>
      </c>
      <c r="G301" s="17">
        <v>13.8</v>
      </c>
      <c r="H301" s="15" t="str">
        <f>_xlfn.DISPIMG("ID_1EAB610FE62A43A48A8D10ED632D2158",1)</f>
        <v>=DISPIMG("ID_1EAB610FE62A43A48A8D10ED632D2158",1)</v>
      </c>
    </row>
    <row r="302" s="2" customFormat="1" customHeight="1" spans="1:8">
      <c r="A302" s="13">
        <v>301</v>
      </c>
      <c r="B302" s="14" t="s">
        <v>320</v>
      </c>
      <c r="C302" s="14" t="s">
        <v>589</v>
      </c>
      <c r="D302" s="16" t="s">
        <v>590</v>
      </c>
      <c r="E302" s="16" t="s">
        <v>591</v>
      </c>
      <c r="F302" s="16" t="s">
        <v>592</v>
      </c>
      <c r="G302" s="17">
        <v>75</v>
      </c>
      <c r="H302" s="15" t="str">
        <f>_xlfn.DISPIMG("ID_3C55896B86CF45ED8E8D3B9A1449ADB2",1)</f>
        <v>=DISPIMG("ID_3C55896B86CF45ED8E8D3B9A1449ADB2",1)</v>
      </c>
    </row>
    <row r="303" s="2" customFormat="1" customHeight="1" spans="1:8">
      <c r="A303" s="13">
        <v>302</v>
      </c>
      <c r="B303" s="16" t="s">
        <v>320</v>
      </c>
      <c r="C303" s="15" t="s">
        <v>589</v>
      </c>
      <c r="D303" s="15" t="s">
        <v>593</v>
      </c>
      <c r="E303" s="15" t="s">
        <v>594</v>
      </c>
      <c r="F303" s="16" t="s">
        <v>595</v>
      </c>
      <c r="G303" s="17">
        <v>113</v>
      </c>
      <c r="H303" s="15" t="str">
        <f>_xlfn.DISPIMG("ID_6020BB3F6350498F84AC67522F3950B5",1)</f>
        <v>=DISPIMG("ID_6020BB3F6350498F84AC67522F3950B5",1)</v>
      </c>
    </row>
    <row r="304" s="2" customFormat="1" customHeight="1" spans="1:8">
      <c r="A304" s="13">
        <v>303</v>
      </c>
      <c r="B304" s="14" t="s">
        <v>320</v>
      </c>
      <c r="C304" s="14" t="s">
        <v>589</v>
      </c>
      <c r="D304" s="15" t="s">
        <v>596</v>
      </c>
      <c r="E304" s="15" t="s">
        <v>597</v>
      </c>
      <c r="F304" s="16" t="s">
        <v>598</v>
      </c>
      <c r="G304" s="17">
        <v>35.6</v>
      </c>
      <c r="H304" s="15" t="str">
        <f>_xlfn.DISPIMG("ID_7EEC8D30735349698B6FFAA72D7E4200",1)</f>
        <v>=DISPIMG("ID_7EEC8D30735349698B6FFAA72D7E4200",1)</v>
      </c>
    </row>
    <row r="305" s="5" customFormat="1" customHeight="1" spans="1:8">
      <c r="A305" s="13">
        <v>304</v>
      </c>
      <c r="B305" s="26" t="s">
        <v>557</v>
      </c>
      <c r="C305" s="26" t="s">
        <v>589</v>
      </c>
      <c r="D305" s="26" t="s">
        <v>599</v>
      </c>
      <c r="E305" s="26" t="s">
        <v>600</v>
      </c>
      <c r="F305" s="27" t="s">
        <v>601</v>
      </c>
      <c r="G305" s="28">
        <v>24.9</v>
      </c>
      <c r="H305" s="26"/>
    </row>
    <row r="306" s="5" customFormat="1" customHeight="1" spans="1:8">
      <c r="A306" s="13">
        <v>305</v>
      </c>
      <c r="B306" s="26" t="s">
        <v>557</v>
      </c>
      <c r="C306" s="26" t="s">
        <v>589</v>
      </c>
      <c r="D306" s="26" t="s">
        <v>602</v>
      </c>
      <c r="E306" s="26" t="s">
        <v>603</v>
      </c>
      <c r="F306" s="27" t="s">
        <v>604</v>
      </c>
      <c r="G306" s="28">
        <v>79</v>
      </c>
      <c r="H306" s="26"/>
    </row>
    <row r="307" s="5" customFormat="1" customHeight="1" spans="1:8">
      <c r="A307" s="13">
        <v>306</v>
      </c>
      <c r="B307" s="26" t="s">
        <v>557</v>
      </c>
      <c r="C307" s="26" t="s">
        <v>589</v>
      </c>
      <c r="D307" s="26" t="s">
        <v>605</v>
      </c>
      <c r="E307" s="26" t="s">
        <v>14</v>
      </c>
      <c r="F307" s="27" t="s">
        <v>606</v>
      </c>
      <c r="G307" s="28">
        <v>256</v>
      </c>
      <c r="H307" s="26"/>
    </row>
    <row r="308" s="5" customFormat="1" customHeight="1" spans="1:8">
      <c r="A308" s="13">
        <v>307</v>
      </c>
      <c r="B308" s="26" t="s">
        <v>557</v>
      </c>
      <c r="C308" s="26" t="s">
        <v>589</v>
      </c>
      <c r="D308" s="26" t="s">
        <v>607</v>
      </c>
      <c r="E308" s="26" t="s">
        <v>14</v>
      </c>
      <c r="F308" s="27" t="s">
        <v>606</v>
      </c>
      <c r="G308" s="28">
        <v>256</v>
      </c>
      <c r="H308" s="26"/>
    </row>
    <row r="309" s="5" customFormat="1" customHeight="1" spans="1:8">
      <c r="A309" s="13">
        <v>308</v>
      </c>
      <c r="B309" s="26" t="s">
        <v>557</v>
      </c>
      <c r="C309" s="26" t="s">
        <v>589</v>
      </c>
      <c r="D309" s="26" t="s">
        <v>608</v>
      </c>
      <c r="E309" s="26" t="s">
        <v>609</v>
      </c>
      <c r="F309" s="27" t="s">
        <v>610</v>
      </c>
      <c r="G309" s="28">
        <v>15</v>
      </c>
      <c r="H309" s="26"/>
    </row>
    <row r="310" s="5" customFormat="1" customHeight="1" spans="1:8">
      <c r="A310" s="13">
        <v>309</v>
      </c>
      <c r="B310" s="26" t="s">
        <v>557</v>
      </c>
      <c r="C310" s="26" t="s">
        <v>589</v>
      </c>
      <c r="D310" s="26" t="s">
        <v>611</v>
      </c>
      <c r="E310" s="26" t="s">
        <v>609</v>
      </c>
      <c r="F310" s="27" t="s">
        <v>610</v>
      </c>
      <c r="G310" s="28">
        <v>17</v>
      </c>
      <c r="H310" s="26"/>
    </row>
    <row r="311" s="2" customFormat="1" customHeight="1" spans="1:8">
      <c r="A311" s="13">
        <v>310</v>
      </c>
      <c r="B311" s="15" t="s">
        <v>320</v>
      </c>
      <c r="C311" s="15" t="s">
        <v>321</v>
      </c>
      <c r="D311" s="15" t="s">
        <v>612</v>
      </c>
      <c r="E311" s="15"/>
      <c r="F311" s="16" t="s">
        <v>85</v>
      </c>
      <c r="G311" s="17">
        <v>18</v>
      </c>
      <c r="H311" s="15" t="str">
        <f>_xlfn.DISPIMG("ID_AEA7128210C04AEA8BF83474C4BBA770",1)</f>
        <v>=DISPIMG("ID_AEA7128210C04AEA8BF83474C4BBA770",1)</v>
      </c>
    </row>
    <row r="312" s="2" customFormat="1" customHeight="1" spans="1:8">
      <c r="A312" s="13">
        <v>311</v>
      </c>
      <c r="B312" s="15" t="s">
        <v>320</v>
      </c>
      <c r="C312" s="15" t="s">
        <v>321</v>
      </c>
      <c r="D312" s="16" t="s">
        <v>613</v>
      </c>
      <c r="E312" s="15" t="s">
        <v>614</v>
      </c>
      <c r="F312" s="16" t="s">
        <v>615</v>
      </c>
      <c r="G312" s="17">
        <v>85</v>
      </c>
      <c r="H312" s="15" t="str">
        <f>_xlfn.DISPIMG("ID_666B74C051294FCF9237959041FD76D1",1)</f>
        <v>=DISPIMG("ID_666B74C051294FCF9237959041FD76D1",1)</v>
      </c>
    </row>
    <row r="313" s="2" customFormat="1" customHeight="1" spans="1:8">
      <c r="A313" s="13">
        <v>312</v>
      </c>
      <c r="B313" s="15" t="s">
        <v>320</v>
      </c>
      <c r="C313" s="15" t="s">
        <v>321</v>
      </c>
      <c r="D313" s="16" t="s">
        <v>616</v>
      </c>
      <c r="E313" s="15"/>
      <c r="F313" s="16" t="s">
        <v>85</v>
      </c>
      <c r="G313" s="17">
        <v>55</v>
      </c>
      <c r="H313" s="15" t="str">
        <f>_xlfn.DISPIMG("ID_B27B0BC787FA40119C77580B435C5D37",1)</f>
        <v>=DISPIMG("ID_B27B0BC787FA40119C77580B435C5D37",1)</v>
      </c>
    </row>
    <row r="314" s="2" customFormat="1" customHeight="1" spans="1:8">
      <c r="A314" s="13">
        <v>313</v>
      </c>
      <c r="B314" s="15" t="s">
        <v>320</v>
      </c>
      <c r="C314" s="15" t="s">
        <v>321</v>
      </c>
      <c r="D314" s="16" t="s">
        <v>617</v>
      </c>
      <c r="E314" s="15"/>
      <c r="F314" s="16" t="s">
        <v>85</v>
      </c>
      <c r="G314" s="17">
        <v>19.9</v>
      </c>
      <c r="H314" s="15" t="str">
        <f>_xlfn.DISPIMG("ID_03D136C37EF0451AABC0254668848C78",1)</f>
        <v>=DISPIMG("ID_03D136C37EF0451AABC0254668848C78",1)</v>
      </c>
    </row>
    <row r="315" s="2" customFormat="1" customHeight="1" spans="1:8">
      <c r="A315" s="13">
        <v>314</v>
      </c>
      <c r="B315" s="15" t="s">
        <v>320</v>
      </c>
      <c r="C315" s="15" t="s">
        <v>321</v>
      </c>
      <c r="D315" s="15" t="s">
        <v>618</v>
      </c>
      <c r="E315" s="15" t="s">
        <v>619</v>
      </c>
      <c r="F315" s="16" t="s">
        <v>620</v>
      </c>
      <c r="G315" s="25">
        <v>207</v>
      </c>
      <c r="H315" s="16" t="str">
        <f>_xlfn.DISPIMG("ID_C1BD12A5159649879FF243D6E15216D3",1)</f>
        <v>=DISPIMG("ID_C1BD12A5159649879FF243D6E15216D3",1)</v>
      </c>
    </row>
    <row r="316" s="2" customFormat="1" customHeight="1" spans="1:8">
      <c r="A316" s="13">
        <v>315</v>
      </c>
      <c r="B316" s="15" t="s">
        <v>320</v>
      </c>
      <c r="C316" s="15" t="s">
        <v>321</v>
      </c>
      <c r="D316" s="16" t="s">
        <v>621</v>
      </c>
      <c r="E316" s="15" t="s">
        <v>622</v>
      </c>
      <c r="F316" s="16" t="s">
        <v>623</v>
      </c>
      <c r="G316" s="17">
        <v>4</v>
      </c>
      <c r="H316" s="15" t="str">
        <f>_xlfn.DISPIMG("ID_1D06474B66CB4925AAC5B2B6AADC9628",1)</f>
        <v>=DISPIMG("ID_1D06474B66CB4925AAC5B2B6AADC9628",1)</v>
      </c>
    </row>
    <row r="317" s="2" customFormat="1" customHeight="1" spans="1:8">
      <c r="A317" s="13">
        <v>316</v>
      </c>
      <c r="B317" s="15" t="s">
        <v>320</v>
      </c>
      <c r="C317" s="15" t="s">
        <v>321</v>
      </c>
      <c r="D317" s="15" t="s">
        <v>624</v>
      </c>
      <c r="E317" s="15"/>
      <c r="F317" s="16" t="s">
        <v>85</v>
      </c>
      <c r="G317" s="17">
        <v>160</v>
      </c>
      <c r="H317" s="15" t="str">
        <f>_xlfn.DISPIMG("ID_D3FF8DC66CD047B6B54CE44ECD899262",1)</f>
        <v>=DISPIMG("ID_D3FF8DC66CD047B6B54CE44ECD899262",1)</v>
      </c>
    </row>
    <row r="318" s="2" customFormat="1" customHeight="1" spans="1:8">
      <c r="A318" s="13">
        <v>317</v>
      </c>
      <c r="B318" s="15" t="s">
        <v>320</v>
      </c>
      <c r="C318" s="15" t="s">
        <v>321</v>
      </c>
      <c r="D318" s="15" t="s">
        <v>625</v>
      </c>
      <c r="E318" s="15"/>
      <c r="F318" s="16" t="s">
        <v>85</v>
      </c>
      <c r="G318" s="17">
        <v>6</v>
      </c>
      <c r="H318" s="15" t="str">
        <f>_xlfn.DISPIMG("ID_A6B205125CFF4CAD811FFD3377D90276",1)</f>
        <v>=DISPIMG("ID_A6B205125CFF4CAD811FFD3377D90276",1)</v>
      </c>
    </row>
    <row r="319" s="2" customFormat="1" customHeight="1" spans="1:8">
      <c r="A319" s="13">
        <v>318</v>
      </c>
      <c r="B319" s="15" t="s">
        <v>320</v>
      </c>
      <c r="C319" s="15" t="s">
        <v>321</v>
      </c>
      <c r="D319" s="15" t="s">
        <v>626</v>
      </c>
      <c r="E319" s="15"/>
      <c r="F319" s="16" t="s">
        <v>85</v>
      </c>
      <c r="G319" s="17">
        <v>6</v>
      </c>
      <c r="H319" s="15" t="str">
        <f>_xlfn.DISPIMG("ID_0539780EAAC2487BAA65CE0DAD838D52",1)</f>
        <v>=DISPIMG("ID_0539780EAAC2487BAA65CE0DAD838D52",1)</v>
      </c>
    </row>
    <row r="320" s="2" customFormat="1" customHeight="1" spans="1:8">
      <c r="A320" s="13">
        <v>319</v>
      </c>
      <c r="B320" s="15" t="s">
        <v>320</v>
      </c>
      <c r="C320" s="15" t="s">
        <v>321</v>
      </c>
      <c r="D320" s="16" t="s">
        <v>627</v>
      </c>
      <c r="E320" s="15"/>
      <c r="F320" s="16" t="s">
        <v>85</v>
      </c>
      <c r="G320" s="31">
        <v>5.995</v>
      </c>
      <c r="H320" s="32" t="str">
        <f>_xlfn.DISPIMG("ID_53D3DD601B0043FC9DB005D38009DC93",1)</f>
        <v>=DISPIMG("ID_53D3DD601B0043FC9DB005D38009DC93",1)</v>
      </c>
    </row>
    <row r="321" s="2" customFormat="1" customHeight="1" spans="1:8">
      <c r="A321" s="13">
        <v>320</v>
      </c>
      <c r="B321" s="15" t="s">
        <v>320</v>
      </c>
      <c r="C321" s="15" t="s">
        <v>321</v>
      </c>
      <c r="D321" s="16" t="s">
        <v>628</v>
      </c>
      <c r="E321" s="15"/>
      <c r="F321" s="16" t="s">
        <v>629</v>
      </c>
      <c r="G321" s="17">
        <v>6.75</v>
      </c>
      <c r="H321" s="15" t="str">
        <f>_xlfn.DISPIMG("ID_A7F066C7467740D99B84BDCAE920F228",1)</f>
        <v>=DISPIMG("ID_A7F066C7467740D99B84BDCAE920F228",1)</v>
      </c>
    </row>
    <row r="322" s="2" customFormat="1" customHeight="1" spans="1:8">
      <c r="A322" s="13">
        <v>321</v>
      </c>
      <c r="B322" s="15" t="s">
        <v>320</v>
      </c>
      <c r="C322" s="15" t="s">
        <v>321</v>
      </c>
      <c r="D322" s="16" t="s">
        <v>630</v>
      </c>
      <c r="E322" s="15"/>
      <c r="F322" s="16" t="s">
        <v>631</v>
      </c>
      <c r="G322" s="17">
        <v>60</v>
      </c>
      <c r="H322" s="15" t="str">
        <f>_xlfn.DISPIMG("ID_F146EBCFC4604A86BA3EBD79BD0CDF7A",1)</f>
        <v>=DISPIMG("ID_F146EBCFC4604A86BA3EBD79BD0CDF7A",1)</v>
      </c>
    </row>
    <row r="323" s="2" customFormat="1" customHeight="1" spans="1:8">
      <c r="A323" s="13">
        <v>322</v>
      </c>
      <c r="B323" s="15" t="s">
        <v>320</v>
      </c>
      <c r="C323" s="14" t="s">
        <v>321</v>
      </c>
      <c r="D323" s="16" t="s">
        <v>632</v>
      </c>
      <c r="E323" s="15" t="s">
        <v>633</v>
      </c>
      <c r="F323" s="16" t="s">
        <v>310</v>
      </c>
      <c r="G323" s="17">
        <v>114.5</v>
      </c>
      <c r="H323" s="15" t="str">
        <f>_xlfn.DISPIMG("ID_E85E02CC4668462FBD42BD513B9A77C8",1)</f>
        <v>=DISPIMG("ID_E85E02CC4668462FBD42BD513B9A77C8",1)</v>
      </c>
    </row>
    <row r="324" s="2" customFormat="1" customHeight="1" spans="1:8">
      <c r="A324" s="13">
        <v>323</v>
      </c>
      <c r="B324" s="15" t="s">
        <v>320</v>
      </c>
      <c r="C324" s="15" t="s">
        <v>321</v>
      </c>
      <c r="D324" s="15" t="s">
        <v>634</v>
      </c>
      <c r="E324" s="15"/>
      <c r="F324" s="16" t="s">
        <v>85</v>
      </c>
      <c r="G324" s="17">
        <v>20</v>
      </c>
      <c r="H324" s="15" t="str">
        <f>_xlfn.DISPIMG("ID_11EA153B6FFA43A7981CA286CCBD582F",1)</f>
        <v>=DISPIMG("ID_11EA153B6FFA43A7981CA286CCBD582F",1)</v>
      </c>
    </row>
    <row r="325" s="2" customFormat="1" customHeight="1" spans="1:8">
      <c r="A325" s="13">
        <v>324</v>
      </c>
      <c r="B325" s="15" t="s">
        <v>320</v>
      </c>
      <c r="C325" s="15" t="s">
        <v>321</v>
      </c>
      <c r="D325" s="15" t="s">
        <v>635</v>
      </c>
      <c r="E325" s="15"/>
      <c r="F325" s="16" t="s">
        <v>85</v>
      </c>
      <c r="G325" s="17">
        <v>21.9</v>
      </c>
      <c r="H325" s="15" t="str">
        <f>_xlfn.DISPIMG("ID_32D11AA2810B4B94973BA4FF52742057",1)</f>
        <v>=DISPIMG("ID_32D11AA2810B4B94973BA4FF52742057",1)</v>
      </c>
    </row>
    <row r="326" s="2" customFormat="1" customHeight="1" spans="1:8">
      <c r="A326" s="13">
        <v>325</v>
      </c>
      <c r="B326" s="15" t="s">
        <v>320</v>
      </c>
      <c r="C326" s="15" t="s">
        <v>321</v>
      </c>
      <c r="D326" s="16" t="s">
        <v>636</v>
      </c>
      <c r="E326" s="15"/>
      <c r="F326" s="16" t="s">
        <v>637</v>
      </c>
      <c r="G326" s="17">
        <v>22.5666666666667</v>
      </c>
      <c r="H326" s="15" t="str">
        <f>_xlfn.DISPIMG("ID_483598CBB289432782FBBB4E0713FB3E",1)</f>
        <v>=DISPIMG("ID_483598CBB289432782FBBB4E0713FB3E",1)</v>
      </c>
    </row>
    <row r="327" s="2" customFormat="1" customHeight="1" spans="1:8">
      <c r="A327" s="13">
        <v>326</v>
      </c>
      <c r="B327" s="15" t="s">
        <v>320</v>
      </c>
      <c r="C327" s="15" t="s">
        <v>321</v>
      </c>
      <c r="D327" s="16" t="s">
        <v>638</v>
      </c>
      <c r="E327" s="15"/>
      <c r="F327" s="16" t="s">
        <v>85</v>
      </c>
      <c r="G327" s="17">
        <v>80</v>
      </c>
      <c r="H327" s="15" t="str">
        <f>_xlfn.DISPIMG("ID_911AEBB22E4D48228B3F4B54D1E24A48",1)</f>
        <v>=DISPIMG("ID_911AEBB22E4D48228B3F4B54D1E24A48",1)</v>
      </c>
    </row>
    <row r="328" s="2" customFormat="1" customHeight="1" spans="1:8">
      <c r="A328" s="13">
        <v>327</v>
      </c>
      <c r="B328" s="15" t="s">
        <v>320</v>
      </c>
      <c r="C328" s="15" t="s">
        <v>321</v>
      </c>
      <c r="D328" s="16" t="s">
        <v>639</v>
      </c>
      <c r="E328" s="15"/>
      <c r="F328" s="16" t="s">
        <v>640</v>
      </c>
      <c r="G328" s="17">
        <v>27.45</v>
      </c>
      <c r="H328" s="15" t="str">
        <f>_xlfn.DISPIMG("ID_D2A7D63EF6AD44C8A6DEDCEE89A18A2F",1)</f>
        <v>=DISPIMG("ID_D2A7D63EF6AD44C8A6DEDCEE89A18A2F",1)</v>
      </c>
    </row>
    <row r="329" s="2" customFormat="1" customHeight="1" spans="1:8">
      <c r="A329" s="13">
        <v>328</v>
      </c>
      <c r="B329" s="15" t="s">
        <v>320</v>
      </c>
      <c r="C329" s="15" t="s">
        <v>321</v>
      </c>
      <c r="D329" s="16" t="s">
        <v>641</v>
      </c>
      <c r="E329" s="15"/>
      <c r="F329" s="16" t="s">
        <v>642</v>
      </c>
      <c r="G329" s="17">
        <v>22.4</v>
      </c>
      <c r="H329" s="15" t="str">
        <f>_xlfn.DISPIMG("ID_0491CF25ABBB47F2BD55EF7B48DE2DBC",1)</f>
        <v>=DISPIMG("ID_0491CF25ABBB47F2BD55EF7B48DE2DBC",1)</v>
      </c>
    </row>
    <row r="330" s="2" customFormat="1" customHeight="1" spans="1:8">
      <c r="A330" s="13">
        <v>329</v>
      </c>
      <c r="B330" s="15" t="s">
        <v>320</v>
      </c>
      <c r="C330" s="15" t="s">
        <v>321</v>
      </c>
      <c r="D330" s="16" t="s">
        <v>643</v>
      </c>
      <c r="E330" s="15"/>
      <c r="F330" s="16" t="s">
        <v>85</v>
      </c>
      <c r="G330" s="17">
        <v>64.8</v>
      </c>
      <c r="H330" s="15" t="str">
        <f>_xlfn.DISPIMG("ID_5F180EBBC96144529EAA861C1CA9B365",1)</f>
        <v>=DISPIMG("ID_5F180EBBC96144529EAA861C1CA9B365",1)</v>
      </c>
    </row>
    <row r="331" s="2" customFormat="1" customHeight="1" spans="1:8">
      <c r="A331" s="13">
        <v>330</v>
      </c>
      <c r="B331" s="15" t="s">
        <v>320</v>
      </c>
      <c r="C331" s="15" t="s">
        <v>321</v>
      </c>
      <c r="D331" s="16" t="s">
        <v>644</v>
      </c>
      <c r="E331" s="15"/>
      <c r="F331" s="16" t="s">
        <v>85</v>
      </c>
      <c r="G331" s="17">
        <v>44.95</v>
      </c>
      <c r="H331" s="15" t="str">
        <f>_xlfn.DISPIMG("ID_45CFE90709974CA186B24E60D2F879AB",1)</f>
        <v>=DISPIMG("ID_45CFE90709974CA186B24E60D2F879AB",1)</v>
      </c>
    </row>
    <row r="332" s="8" customFormat="1" customHeight="1" spans="1:8">
      <c r="A332" s="13">
        <v>331</v>
      </c>
      <c r="B332" s="38" t="s">
        <v>320</v>
      </c>
      <c r="C332" s="38" t="s">
        <v>321</v>
      </c>
      <c r="D332" s="39" t="s">
        <v>645</v>
      </c>
      <c r="E332" s="39"/>
      <c r="F332" s="39" t="s">
        <v>85</v>
      </c>
      <c r="G332" s="40">
        <v>10</v>
      </c>
      <c r="H332" s="39"/>
    </row>
    <row r="333" s="2" customFormat="1" customHeight="1" spans="1:8">
      <c r="A333" s="13">
        <v>332</v>
      </c>
      <c r="B333" s="15" t="s">
        <v>320</v>
      </c>
      <c r="C333" s="15" t="s">
        <v>321</v>
      </c>
      <c r="D333" s="16" t="s">
        <v>646</v>
      </c>
      <c r="E333" s="15"/>
      <c r="F333" s="16" t="s">
        <v>647</v>
      </c>
      <c r="G333" s="17">
        <v>30</v>
      </c>
      <c r="H333" s="15" t="str">
        <f>_xlfn.DISPIMG("ID_02E95A0E8E1648668A49644B1006187C",1)</f>
        <v>=DISPIMG("ID_02E95A0E8E1648668A49644B1006187C",1)</v>
      </c>
    </row>
    <row r="334" s="2" customFormat="1" customHeight="1" spans="1:8">
      <c r="A334" s="13">
        <v>333</v>
      </c>
      <c r="B334" s="15" t="s">
        <v>320</v>
      </c>
      <c r="C334" s="15" t="s">
        <v>321</v>
      </c>
      <c r="D334" s="16" t="s">
        <v>648</v>
      </c>
      <c r="E334" s="15"/>
      <c r="F334" s="16" t="s">
        <v>649</v>
      </c>
      <c r="G334" s="17">
        <v>6.75</v>
      </c>
      <c r="H334" s="15" t="str">
        <f>_xlfn.DISPIMG("ID_38F54C15890345F7BB19D7159B610C78",1)</f>
        <v>=DISPIMG("ID_38F54C15890345F7BB19D7159B610C78",1)</v>
      </c>
    </row>
    <row r="335" s="2" customFormat="1" customHeight="1" spans="1:8">
      <c r="A335" s="13">
        <v>334</v>
      </c>
      <c r="B335" s="15" t="s">
        <v>320</v>
      </c>
      <c r="C335" s="15" t="s">
        <v>321</v>
      </c>
      <c r="D335" s="16" t="s">
        <v>650</v>
      </c>
      <c r="E335" s="15"/>
      <c r="F335" s="16" t="s">
        <v>651</v>
      </c>
      <c r="G335" s="17">
        <v>13</v>
      </c>
      <c r="H335" s="15" t="str">
        <f>_xlfn.DISPIMG("ID_2A5F7B81362847F2AD74AFE9E86BFD0F",1)</f>
        <v>=DISPIMG("ID_2A5F7B81362847F2AD74AFE9E86BFD0F",1)</v>
      </c>
    </row>
    <row r="336" s="2" customFormat="1" customHeight="1" spans="1:8">
      <c r="A336" s="13">
        <v>335</v>
      </c>
      <c r="B336" s="15" t="s">
        <v>320</v>
      </c>
      <c r="C336" s="15" t="s">
        <v>321</v>
      </c>
      <c r="D336" s="15" t="s">
        <v>652</v>
      </c>
      <c r="E336" s="16"/>
      <c r="F336" s="16" t="s">
        <v>85</v>
      </c>
      <c r="G336" s="31">
        <v>10</v>
      </c>
      <c r="H336" s="32" t="str">
        <f>_xlfn.DISPIMG("ID_1F31418990F54E37A5041ED11D853F3F",1)</f>
        <v>=DISPIMG("ID_1F31418990F54E37A5041ED11D853F3F",1)</v>
      </c>
    </row>
    <row r="337" s="2" customFormat="1" customHeight="1" spans="1:8">
      <c r="A337" s="13">
        <v>336</v>
      </c>
      <c r="B337" s="15" t="s">
        <v>320</v>
      </c>
      <c r="C337" s="15" t="s">
        <v>321</v>
      </c>
      <c r="D337" s="16" t="s">
        <v>653</v>
      </c>
      <c r="E337" s="15"/>
      <c r="F337" s="16" t="s">
        <v>654</v>
      </c>
      <c r="G337" s="17">
        <v>52</v>
      </c>
      <c r="H337" s="15" t="str">
        <f>_xlfn.DISPIMG("ID_7AF26973B461408CBDDB6E962CAC2C4D",1)</f>
        <v>=DISPIMG("ID_7AF26973B461408CBDDB6E962CAC2C4D",1)</v>
      </c>
    </row>
    <row r="338" s="2" customFormat="1" customHeight="1" spans="1:8">
      <c r="A338" s="13">
        <v>337</v>
      </c>
      <c r="B338" s="15" t="s">
        <v>320</v>
      </c>
      <c r="C338" s="15" t="s">
        <v>321</v>
      </c>
      <c r="D338" s="16" t="s">
        <v>655</v>
      </c>
      <c r="E338" s="15"/>
      <c r="F338" s="16" t="s">
        <v>85</v>
      </c>
      <c r="G338" s="17">
        <v>38</v>
      </c>
      <c r="H338" s="15" t="str">
        <f>_xlfn.DISPIMG("ID_261645DE1E6543759895A33940015590",1)</f>
        <v>=DISPIMG("ID_261645DE1E6543759895A33940015590",1)</v>
      </c>
    </row>
    <row r="339" s="2" customFormat="1" customHeight="1" spans="1:8">
      <c r="A339" s="13">
        <v>338</v>
      </c>
      <c r="B339" s="15" t="s">
        <v>320</v>
      </c>
      <c r="C339" s="15" t="s">
        <v>321</v>
      </c>
      <c r="D339" s="16" t="s">
        <v>656</v>
      </c>
      <c r="E339" s="15"/>
      <c r="F339" s="16" t="s">
        <v>85</v>
      </c>
      <c r="G339" s="17">
        <v>50</v>
      </c>
      <c r="H339" s="15" t="str">
        <f>_xlfn.DISPIMG("ID_684E69B6BF184C0FB6ACAC4DA632AD74",1)</f>
        <v>=DISPIMG("ID_684E69B6BF184C0FB6ACAC4DA632AD74",1)</v>
      </c>
    </row>
    <row r="340" s="2" customFormat="1" customHeight="1" spans="1:8">
      <c r="A340" s="13">
        <v>339</v>
      </c>
      <c r="B340" s="15" t="s">
        <v>320</v>
      </c>
      <c r="C340" s="15" t="s">
        <v>321</v>
      </c>
      <c r="D340" s="16" t="s">
        <v>657</v>
      </c>
      <c r="E340" s="15"/>
      <c r="F340" s="16" t="s">
        <v>658</v>
      </c>
      <c r="G340" s="17">
        <v>60</v>
      </c>
      <c r="H340" s="15" t="str">
        <f>_xlfn.DISPIMG("ID_5F8949B9CC7C47D388BF3AB3FB7FE2A5",1)</f>
        <v>=DISPIMG("ID_5F8949B9CC7C47D388BF3AB3FB7FE2A5",1)</v>
      </c>
    </row>
    <row r="341" s="2" customFormat="1" customHeight="1" spans="1:8">
      <c r="A341" s="13">
        <v>340</v>
      </c>
      <c r="B341" s="15" t="s">
        <v>320</v>
      </c>
      <c r="C341" s="15" t="s">
        <v>321</v>
      </c>
      <c r="D341" s="16" t="s">
        <v>659</v>
      </c>
      <c r="E341" s="15"/>
      <c r="F341" s="16" t="s">
        <v>660</v>
      </c>
      <c r="G341" s="17">
        <v>44.9</v>
      </c>
      <c r="H341" s="15" t="str">
        <f>_xlfn.DISPIMG("ID_0D0478D6D6594FA8BAD7B28A1D7753DA",1)</f>
        <v>=DISPIMG("ID_0D0478D6D6594FA8BAD7B28A1D7753DA",1)</v>
      </c>
    </row>
    <row r="342" s="2" customFormat="1" customHeight="1" spans="1:8">
      <c r="A342" s="13">
        <v>341</v>
      </c>
      <c r="B342" s="15" t="s">
        <v>320</v>
      </c>
      <c r="C342" s="15" t="s">
        <v>321</v>
      </c>
      <c r="D342" s="15" t="s">
        <v>661</v>
      </c>
      <c r="E342" s="16"/>
      <c r="F342" s="16" t="s">
        <v>85</v>
      </c>
      <c r="G342" s="17">
        <v>80</v>
      </c>
      <c r="H342" s="15" t="str">
        <f>_xlfn.DISPIMG("ID_70708549AC9C4055B929B3F7D2EF9AC2",1)</f>
        <v>=DISPIMG("ID_70708549AC9C4055B929B3F7D2EF9AC2",1)</v>
      </c>
    </row>
    <row r="343" s="2" customFormat="1" customHeight="1" spans="1:8">
      <c r="A343" s="13">
        <v>342</v>
      </c>
      <c r="B343" s="15" t="s">
        <v>320</v>
      </c>
      <c r="C343" s="15" t="s">
        <v>321</v>
      </c>
      <c r="D343" s="15" t="s">
        <v>662</v>
      </c>
      <c r="E343" s="15"/>
      <c r="F343" s="16" t="s">
        <v>85</v>
      </c>
      <c r="G343" s="17">
        <v>13.3</v>
      </c>
      <c r="H343" s="15" t="str">
        <f>_xlfn.DISPIMG("ID_F37FC8B45EDD4FC892A2603E757E64BF",1)</f>
        <v>=DISPIMG("ID_F37FC8B45EDD4FC892A2603E757E64BF",1)</v>
      </c>
    </row>
    <row r="344" s="2" customFormat="1" customHeight="1" spans="1:8">
      <c r="A344" s="13">
        <v>343</v>
      </c>
      <c r="B344" s="15" t="s">
        <v>320</v>
      </c>
      <c r="C344" s="15" t="s">
        <v>321</v>
      </c>
      <c r="D344" s="16" t="s">
        <v>663</v>
      </c>
      <c r="E344" s="15"/>
      <c r="F344" s="16" t="s">
        <v>85</v>
      </c>
      <c r="G344" s="17">
        <v>135</v>
      </c>
      <c r="H344" s="15" t="str">
        <f>_xlfn.DISPIMG("ID_F7CCC862A6D1488BA7817D37981D9E88",1)</f>
        <v>=DISPIMG("ID_F7CCC862A6D1488BA7817D37981D9E88",1)</v>
      </c>
    </row>
    <row r="345" s="2" customFormat="1" customHeight="1" spans="1:8">
      <c r="A345" s="13">
        <v>344</v>
      </c>
      <c r="B345" s="16" t="s">
        <v>320</v>
      </c>
      <c r="C345" s="15" t="s">
        <v>321</v>
      </c>
      <c r="D345" s="16" t="s">
        <v>664</v>
      </c>
      <c r="E345" s="16"/>
      <c r="F345" s="16" t="s">
        <v>85</v>
      </c>
      <c r="G345" s="17">
        <v>26.5</v>
      </c>
      <c r="H345" s="15" t="str">
        <f>_xlfn.DISPIMG("ID_13288998F79140469E8AE6D9D2C3485B",1)</f>
        <v>=DISPIMG("ID_13288998F79140469E8AE6D9D2C3485B",1)</v>
      </c>
    </row>
    <row r="346" s="5" customFormat="1" customHeight="1" spans="1:8">
      <c r="A346" s="13">
        <v>345</v>
      </c>
      <c r="B346" s="26" t="s">
        <v>557</v>
      </c>
      <c r="C346" s="26" t="s">
        <v>321</v>
      </c>
      <c r="D346" s="27" t="s">
        <v>665</v>
      </c>
      <c r="E346" s="26"/>
      <c r="F346" s="27" t="s">
        <v>666</v>
      </c>
      <c r="G346" s="28">
        <v>69.9</v>
      </c>
      <c r="H346" s="26"/>
    </row>
    <row r="347" s="5" customFormat="1" customHeight="1" spans="1:8">
      <c r="A347" s="13">
        <v>346</v>
      </c>
      <c r="B347" s="26" t="s">
        <v>557</v>
      </c>
      <c r="C347" s="26" t="s">
        <v>321</v>
      </c>
      <c r="D347" s="27" t="s">
        <v>667</v>
      </c>
      <c r="E347" s="26"/>
      <c r="F347" s="27" t="s">
        <v>666</v>
      </c>
      <c r="G347" s="28">
        <v>550</v>
      </c>
      <c r="H347" s="26"/>
    </row>
    <row r="348" s="5" customFormat="1" customHeight="1" spans="1:8">
      <c r="A348" s="13">
        <v>347</v>
      </c>
      <c r="B348" s="26" t="s">
        <v>557</v>
      </c>
      <c r="C348" s="26" t="s">
        <v>321</v>
      </c>
      <c r="D348" s="27" t="s">
        <v>668</v>
      </c>
      <c r="E348" s="26"/>
      <c r="F348" s="27" t="s">
        <v>666</v>
      </c>
      <c r="G348" s="28">
        <v>29.9</v>
      </c>
      <c r="H348" s="26"/>
    </row>
    <row r="349" s="2" customFormat="1" customHeight="1" spans="1:8">
      <c r="A349" s="13">
        <v>348</v>
      </c>
      <c r="B349" s="15" t="s">
        <v>320</v>
      </c>
      <c r="C349" s="15" t="s">
        <v>669</v>
      </c>
      <c r="D349" s="16" t="s">
        <v>670</v>
      </c>
      <c r="E349" s="15"/>
      <c r="F349" s="16" t="s">
        <v>671</v>
      </c>
      <c r="G349" s="17">
        <v>32.4</v>
      </c>
      <c r="H349" s="15" t="str">
        <f>_xlfn.DISPIMG("ID_7B5D01D63BC34CB89D6A35A781C5CB37",1)</f>
        <v>=DISPIMG("ID_7B5D01D63BC34CB89D6A35A781C5CB37",1)</v>
      </c>
    </row>
    <row r="350" s="2" customFormat="1" customHeight="1" spans="1:8">
      <c r="A350" s="13">
        <v>349</v>
      </c>
      <c r="B350" s="15" t="s">
        <v>320</v>
      </c>
      <c r="C350" s="15" t="s">
        <v>669</v>
      </c>
      <c r="D350" s="16" t="s">
        <v>672</v>
      </c>
      <c r="E350" s="15"/>
      <c r="F350" s="16" t="s">
        <v>673</v>
      </c>
      <c r="G350" s="17">
        <v>50.5666666666667</v>
      </c>
      <c r="H350" s="15" t="str">
        <f>_xlfn.DISPIMG("ID_39062D589D01455198757441C3C87ECC",1)</f>
        <v>=DISPIMG("ID_39062D589D01455198757441C3C87ECC",1)</v>
      </c>
    </row>
    <row r="351" s="2" customFormat="1" customHeight="1" spans="1:8">
      <c r="A351" s="13">
        <v>350</v>
      </c>
      <c r="B351" s="15" t="s">
        <v>320</v>
      </c>
      <c r="C351" s="15" t="s">
        <v>669</v>
      </c>
      <c r="D351" s="16" t="s">
        <v>674</v>
      </c>
      <c r="E351" s="15"/>
      <c r="F351" s="16" t="s">
        <v>675</v>
      </c>
      <c r="G351" s="17">
        <v>40</v>
      </c>
      <c r="H351" s="15" t="str">
        <f>_xlfn.DISPIMG("ID_14AF5024E83A4530A1D09B893165596C",1)</f>
        <v>=DISPIMG("ID_14AF5024E83A4530A1D09B893165596C",1)</v>
      </c>
    </row>
    <row r="352" s="2" customFormat="1" customHeight="1" spans="1:8">
      <c r="A352" s="13">
        <v>351</v>
      </c>
      <c r="B352" s="16" t="s">
        <v>320</v>
      </c>
      <c r="C352" s="15" t="s">
        <v>676</v>
      </c>
      <c r="D352" s="16" t="s">
        <v>677</v>
      </c>
      <c r="E352" s="16" t="s">
        <v>678</v>
      </c>
      <c r="F352" s="16" t="s">
        <v>679</v>
      </c>
      <c r="G352" s="25">
        <v>140</v>
      </c>
      <c r="H352" s="16" t="str">
        <f>_xlfn.DISPIMG("ID_EDEC90F91BB14863AEA194259E243A99",1)</f>
        <v>=DISPIMG("ID_EDEC90F91BB14863AEA194259E243A99",1)</v>
      </c>
    </row>
    <row r="353" s="2" customFormat="1" customHeight="1" spans="1:8">
      <c r="A353" s="13">
        <v>352</v>
      </c>
      <c r="B353" s="16" t="s">
        <v>320</v>
      </c>
      <c r="C353" s="15" t="s">
        <v>676</v>
      </c>
      <c r="D353" s="16" t="s">
        <v>680</v>
      </c>
      <c r="E353" s="16" t="s">
        <v>681</v>
      </c>
      <c r="F353" s="16" t="s">
        <v>682</v>
      </c>
      <c r="G353" s="25">
        <v>120</v>
      </c>
      <c r="H353" s="16"/>
    </row>
    <row r="354" s="2" customFormat="1" customHeight="1" spans="1:8">
      <c r="A354" s="13">
        <v>353</v>
      </c>
      <c r="B354" s="15" t="s">
        <v>320</v>
      </c>
      <c r="C354" s="15" t="s">
        <v>676</v>
      </c>
      <c r="D354" s="16" t="s">
        <v>683</v>
      </c>
      <c r="E354" s="15"/>
      <c r="F354" s="16" t="s">
        <v>684</v>
      </c>
      <c r="G354" s="17">
        <v>3.49</v>
      </c>
      <c r="H354" s="15" t="str">
        <f>_xlfn.DISPIMG("ID_8A17705DCBC540D3A3AA9857A2688987",1)</f>
        <v>=DISPIMG("ID_8A17705DCBC540D3A3AA9857A2688987",1)</v>
      </c>
    </row>
    <row r="355" s="2" customFormat="1" customHeight="1" spans="1:8">
      <c r="A355" s="13">
        <v>354</v>
      </c>
      <c r="B355" s="15" t="s">
        <v>320</v>
      </c>
      <c r="C355" s="15" t="s">
        <v>676</v>
      </c>
      <c r="D355" s="15" t="s">
        <v>685</v>
      </c>
      <c r="E355" s="15"/>
      <c r="F355" s="16" t="s">
        <v>85</v>
      </c>
      <c r="G355" s="17">
        <v>8</v>
      </c>
      <c r="H355" s="15" t="str">
        <f>_xlfn.DISPIMG("ID_1CE5CFF4344C402A9B93946B440CF571",1)</f>
        <v>=DISPIMG("ID_1CE5CFF4344C402A9B93946B440CF571",1)</v>
      </c>
    </row>
    <row r="356" s="2" customFormat="1" customHeight="1" spans="1:8">
      <c r="A356" s="13">
        <v>355</v>
      </c>
      <c r="B356" s="15" t="s">
        <v>320</v>
      </c>
      <c r="C356" s="15" t="s">
        <v>686</v>
      </c>
      <c r="D356" s="15" t="s">
        <v>687</v>
      </c>
      <c r="E356" s="15"/>
      <c r="F356" s="16" t="s">
        <v>85</v>
      </c>
      <c r="G356" s="17">
        <v>5</v>
      </c>
      <c r="H356" s="15" t="str">
        <f>_xlfn.DISPIMG("ID_AFD264F7A1B0466AA8BFFA95F56565F1",1)</f>
        <v>=DISPIMG("ID_AFD264F7A1B0466AA8BFFA95F56565F1",1)</v>
      </c>
    </row>
    <row r="357" s="2" customFormat="1" customHeight="1" spans="1:8">
      <c r="A357" s="13">
        <v>356</v>
      </c>
      <c r="B357" s="15" t="s">
        <v>320</v>
      </c>
      <c r="C357" s="15" t="s">
        <v>686</v>
      </c>
      <c r="D357" s="15" t="s">
        <v>688</v>
      </c>
      <c r="E357" s="15"/>
      <c r="F357" s="16" t="s">
        <v>85</v>
      </c>
      <c r="G357" s="17">
        <v>5.9</v>
      </c>
      <c r="H357" s="15" t="str">
        <f>_xlfn.DISPIMG("ID_472D648493F4489D92DDE0DA1E31129A",1)</f>
        <v>=DISPIMG("ID_472D648493F4489D92DDE0DA1E31129A",1)</v>
      </c>
    </row>
    <row r="358" s="2" customFormat="1" customHeight="1" spans="1:8">
      <c r="A358" s="13">
        <v>357</v>
      </c>
      <c r="B358" s="15" t="s">
        <v>320</v>
      </c>
      <c r="C358" s="15" t="s">
        <v>686</v>
      </c>
      <c r="D358" s="16" t="s">
        <v>689</v>
      </c>
      <c r="E358" s="15"/>
      <c r="F358" s="16" t="s">
        <v>85</v>
      </c>
      <c r="G358" s="17">
        <v>7.32333333333333</v>
      </c>
      <c r="H358" s="15" t="str">
        <f>_xlfn.DISPIMG("ID_CF405295F8C948F3B9FD784C864F803C",1)</f>
        <v>=DISPIMG("ID_CF405295F8C948F3B9FD784C864F803C",1)</v>
      </c>
    </row>
    <row r="359" s="2" customFormat="1" customHeight="1" spans="1:8">
      <c r="A359" s="13">
        <v>358</v>
      </c>
      <c r="B359" s="15" t="s">
        <v>320</v>
      </c>
      <c r="C359" s="15" t="s">
        <v>686</v>
      </c>
      <c r="D359" s="15" t="s">
        <v>690</v>
      </c>
      <c r="E359" s="15"/>
      <c r="F359" s="16" t="s">
        <v>85</v>
      </c>
      <c r="G359" s="17">
        <v>5</v>
      </c>
      <c r="H359" s="15" t="str">
        <f>_xlfn.DISPIMG("ID_DA5A005D25BD4B598DF4B5CF3DF988D1",1)</f>
        <v>=DISPIMG("ID_DA5A005D25BD4B598DF4B5CF3DF988D1",1)</v>
      </c>
    </row>
    <row r="360" s="2" customFormat="1" customHeight="1" spans="1:8">
      <c r="A360" s="13">
        <v>359</v>
      </c>
      <c r="B360" s="15" t="s">
        <v>320</v>
      </c>
      <c r="C360" s="15" t="s">
        <v>686</v>
      </c>
      <c r="D360" s="16" t="s">
        <v>691</v>
      </c>
      <c r="E360" s="15"/>
      <c r="F360" s="16" t="s">
        <v>692</v>
      </c>
      <c r="G360" s="17">
        <v>10.45</v>
      </c>
      <c r="H360" s="15" t="str">
        <f>_xlfn.DISPIMG("ID_4AD9099BE4E4418E9A9566979143F1BE",1)</f>
        <v>=DISPIMG("ID_4AD9099BE4E4418E9A9566979143F1BE",1)</v>
      </c>
    </row>
    <row r="361" s="2" customFormat="1" customHeight="1" spans="1:8">
      <c r="A361" s="13">
        <v>360</v>
      </c>
      <c r="B361" s="15" t="s">
        <v>320</v>
      </c>
      <c r="C361" s="15" t="s">
        <v>686</v>
      </c>
      <c r="D361" s="16" t="s">
        <v>693</v>
      </c>
      <c r="E361" s="15"/>
      <c r="F361" s="16" t="s">
        <v>694</v>
      </c>
      <c r="G361" s="17">
        <v>6</v>
      </c>
      <c r="H361" s="15" t="str">
        <f>_xlfn.DISPIMG("ID_85269BA006EA4F2BAF0ADBF2497170B9",1)</f>
        <v>=DISPIMG("ID_85269BA006EA4F2BAF0ADBF2497170B9",1)</v>
      </c>
    </row>
    <row r="362" s="2" customFormat="1" customHeight="1" spans="1:8">
      <c r="A362" s="13">
        <v>361</v>
      </c>
      <c r="B362" s="15" t="s">
        <v>320</v>
      </c>
      <c r="C362" s="15" t="s">
        <v>686</v>
      </c>
      <c r="D362" s="16" t="s">
        <v>695</v>
      </c>
      <c r="E362" s="15"/>
      <c r="F362" s="16" t="s">
        <v>85</v>
      </c>
      <c r="G362" s="17">
        <v>6.495</v>
      </c>
      <c r="H362" s="15" t="str">
        <f>_xlfn.DISPIMG("ID_372602FAF6D14D1599CE227FFB0F295D",1)</f>
        <v>=DISPIMG("ID_372602FAF6D14D1599CE227FFB0F295D",1)</v>
      </c>
    </row>
    <row r="363" s="2" customFormat="1" customHeight="1" spans="1:8">
      <c r="A363" s="13">
        <v>362</v>
      </c>
      <c r="B363" s="15" t="s">
        <v>320</v>
      </c>
      <c r="C363" s="15" t="s">
        <v>686</v>
      </c>
      <c r="D363" s="16" t="s">
        <v>696</v>
      </c>
      <c r="E363" s="15"/>
      <c r="F363" s="16" t="s">
        <v>697</v>
      </c>
      <c r="G363" s="17">
        <v>5</v>
      </c>
      <c r="H363" s="15" t="str">
        <f>_xlfn.DISPIMG("ID_AB88AA3040CD481F927868D56B39ABB9",1)</f>
        <v>=DISPIMG("ID_AB88AA3040CD481F927868D56B39ABB9",1)</v>
      </c>
    </row>
    <row r="364" s="2" customFormat="1" customHeight="1" spans="1:8">
      <c r="A364" s="13">
        <v>363</v>
      </c>
      <c r="B364" s="15" t="s">
        <v>320</v>
      </c>
      <c r="C364" s="15" t="s">
        <v>686</v>
      </c>
      <c r="D364" s="15" t="s">
        <v>698</v>
      </c>
      <c r="E364" s="15"/>
      <c r="F364" s="16" t="s">
        <v>85</v>
      </c>
      <c r="G364" s="17">
        <v>10</v>
      </c>
      <c r="H364" s="15" t="str">
        <f>_xlfn.DISPIMG("ID_9604165FB7F5470ABF711E050B766C9C",1)</f>
        <v>=DISPIMG("ID_9604165FB7F5470ABF711E050B766C9C",1)</v>
      </c>
    </row>
    <row r="365" s="2" customFormat="1" customHeight="1" spans="1:8">
      <c r="A365" s="13">
        <v>364</v>
      </c>
      <c r="B365" s="15" t="s">
        <v>320</v>
      </c>
      <c r="C365" s="15" t="s">
        <v>699</v>
      </c>
      <c r="D365" s="16" t="s">
        <v>699</v>
      </c>
      <c r="E365" s="15"/>
      <c r="F365" s="16" t="s">
        <v>700</v>
      </c>
      <c r="G365" s="17">
        <v>3.695</v>
      </c>
      <c r="H365" s="15" t="str">
        <f>_xlfn.DISPIMG("ID_60ECA5FAB13042A98DA4452F1DF65430",1)</f>
        <v>=DISPIMG("ID_60ECA5FAB13042A98DA4452F1DF65430",1)</v>
      </c>
    </row>
    <row r="366" s="2" customFormat="1" customHeight="1" spans="1:8">
      <c r="A366" s="13">
        <v>365</v>
      </c>
      <c r="B366" s="15" t="s">
        <v>320</v>
      </c>
      <c r="C366" s="15" t="s">
        <v>701</v>
      </c>
      <c r="D366" s="15" t="s">
        <v>702</v>
      </c>
      <c r="E366" s="15"/>
      <c r="F366" s="16" t="s">
        <v>85</v>
      </c>
      <c r="G366" s="25">
        <v>50</v>
      </c>
      <c r="H366" s="16" t="str">
        <f>_xlfn.DISPIMG("ID_18339595B6E8436AA913C041871FBC38",1)</f>
        <v>=DISPIMG("ID_18339595B6E8436AA913C041871FBC38",1)</v>
      </c>
    </row>
    <row r="367" s="2" customFormat="1" customHeight="1" spans="1:8">
      <c r="A367" s="13">
        <v>366</v>
      </c>
      <c r="B367" s="15" t="s">
        <v>320</v>
      </c>
      <c r="C367" s="15" t="s">
        <v>701</v>
      </c>
      <c r="D367" s="16" t="s">
        <v>703</v>
      </c>
      <c r="E367" s="15"/>
      <c r="F367" s="16" t="s">
        <v>704</v>
      </c>
      <c r="G367" s="17">
        <v>25</v>
      </c>
      <c r="H367" s="15" t="str">
        <f>_xlfn.DISPIMG("ID_BA8179CB222A458CB4AFDECE6BD3310C",1)</f>
        <v>=DISPIMG("ID_BA8179CB222A458CB4AFDECE6BD3310C",1)</v>
      </c>
    </row>
    <row r="368" s="5" customFormat="1" customHeight="1" spans="1:8">
      <c r="A368" s="13">
        <v>367</v>
      </c>
      <c r="B368" s="29" t="s">
        <v>705</v>
      </c>
      <c r="C368" s="26" t="s">
        <v>706</v>
      </c>
      <c r="D368" s="27" t="s">
        <v>707</v>
      </c>
      <c r="E368" s="26"/>
      <c r="F368" s="27" t="s">
        <v>85</v>
      </c>
      <c r="G368" s="28">
        <v>42.9</v>
      </c>
      <c r="H368" s="26"/>
    </row>
    <row r="369" s="2" customFormat="1" customHeight="1" spans="1:8">
      <c r="A369" s="13">
        <v>368</v>
      </c>
      <c r="B369" s="14" t="s">
        <v>320</v>
      </c>
      <c r="C369" s="15" t="s">
        <v>708</v>
      </c>
      <c r="D369" s="16" t="s">
        <v>709</v>
      </c>
      <c r="E369" s="15" t="s">
        <v>710</v>
      </c>
      <c r="F369" s="16" t="s">
        <v>711</v>
      </c>
      <c r="G369" s="17">
        <v>67</v>
      </c>
      <c r="H369" s="15"/>
    </row>
    <row r="370" s="2" customFormat="1" customHeight="1" spans="1:8">
      <c r="A370" s="13">
        <v>369</v>
      </c>
      <c r="B370" s="14" t="s">
        <v>320</v>
      </c>
      <c r="C370" s="15" t="s">
        <v>708</v>
      </c>
      <c r="D370" s="14" t="s">
        <v>712</v>
      </c>
      <c r="E370" s="15" t="s">
        <v>712</v>
      </c>
      <c r="F370" s="16" t="s">
        <v>713</v>
      </c>
      <c r="G370" s="17">
        <v>91</v>
      </c>
      <c r="H370" s="15" t="str">
        <f>_xlfn.DISPIMG("ID_B25D4FDAB1EB42B394524F1C733D93FC",1)</f>
        <v>=DISPIMG("ID_B25D4FDAB1EB42B394524F1C733D93FC",1)</v>
      </c>
    </row>
    <row r="371" s="2" customFormat="1" customHeight="1" spans="1:8">
      <c r="A371" s="13">
        <v>370</v>
      </c>
      <c r="B371" s="14" t="s">
        <v>320</v>
      </c>
      <c r="C371" s="15" t="s">
        <v>708</v>
      </c>
      <c r="D371" s="16" t="s">
        <v>714</v>
      </c>
      <c r="E371" s="15" t="s">
        <v>715</v>
      </c>
      <c r="F371" s="16" t="s">
        <v>716</v>
      </c>
      <c r="G371" s="25">
        <v>75</v>
      </c>
      <c r="H371" s="16" t="str">
        <f>_xlfn.DISPIMG("ID_820A05A41C024CE7B9DA991A079CB8DE",1)</f>
        <v>=DISPIMG("ID_820A05A41C024CE7B9DA991A079CB8DE",1)</v>
      </c>
    </row>
    <row r="372" s="2" customFormat="1" customHeight="1" spans="1:8">
      <c r="A372" s="13">
        <v>371</v>
      </c>
      <c r="B372" s="14" t="s">
        <v>320</v>
      </c>
      <c r="C372" s="15" t="s">
        <v>708</v>
      </c>
      <c r="D372" s="15" t="s">
        <v>717</v>
      </c>
      <c r="E372" s="15" t="s">
        <v>718</v>
      </c>
      <c r="F372" s="16" t="s">
        <v>719</v>
      </c>
      <c r="G372" s="17">
        <v>160</v>
      </c>
      <c r="H372" s="15" t="str">
        <f>_xlfn.DISPIMG("ID_F074E242A18F4BDA9F2BB981CFD11292",1)</f>
        <v>=DISPIMG("ID_F074E242A18F4BDA9F2BB981CFD11292",1)</v>
      </c>
    </row>
    <row r="373" s="2" customFormat="1" customHeight="1" spans="1:8">
      <c r="A373" s="13">
        <v>372</v>
      </c>
      <c r="B373" s="14" t="s">
        <v>320</v>
      </c>
      <c r="C373" s="15" t="s">
        <v>708</v>
      </c>
      <c r="D373" s="16" t="s">
        <v>720</v>
      </c>
      <c r="E373" s="15"/>
      <c r="F373" s="16" t="s">
        <v>721</v>
      </c>
      <c r="G373" s="17">
        <v>7</v>
      </c>
      <c r="H373" s="15" t="str">
        <f>_xlfn.DISPIMG("ID_719F500F41704842A13CF287F32B773B",1)</f>
        <v>=DISPIMG("ID_719F500F41704842A13CF287F32B773B",1)</v>
      </c>
    </row>
    <row r="374" s="2" customFormat="1" customHeight="1" spans="1:8">
      <c r="A374" s="13">
        <v>373</v>
      </c>
      <c r="B374" s="14" t="s">
        <v>320</v>
      </c>
      <c r="C374" s="15" t="s">
        <v>708</v>
      </c>
      <c r="D374" s="16" t="s">
        <v>720</v>
      </c>
      <c r="E374" s="16"/>
      <c r="F374" s="16" t="s">
        <v>722</v>
      </c>
      <c r="G374" s="25">
        <v>34</v>
      </c>
      <c r="H374" s="16" t="str">
        <f>_xlfn.DISPIMG("ID_3860F09718534D04A23B50CF39D42CF8",1)</f>
        <v>=DISPIMG("ID_3860F09718534D04A23B50CF39D42CF8",1)</v>
      </c>
    </row>
    <row r="375" s="2" customFormat="1" customHeight="1" spans="1:8">
      <c r="A375" s="13">
        <v>374</v>
      </c>
      <c r="B375" s="14" t="s">
        <v>320</v>
      </c>
      <c r="C375" s="15" t="s">
        <v>708</v>
      </c>
      <c r="D375" s="16" t="s">
        <v>723</v>
      </c>
      <c r="E375" s="15"/>
      <c r="F375" s="16" t="s">
        <v>724</v>
      </c>
      <c r="G375" s="17">
        <v>55.76</v>
      </c>
      <c r="H375" s="15" t="str">
        <f>_xlfn.DISPIMG("ID_9197EE997AE7489DAADC7B6F7B3966FD",1)</f>
        <v>=DISPIMG("ID_9197EE997AE7489DAADC7B6F7B3966FD",1)</v>
      </c>
    </row>
    <row r="376" s="2" customFormat="1" customHeight="1" spans="1:8">
      <c r="A376" s="13">
        <v>375</v>
      </c>
      <c r="B376" s="14" t="s">
        <v>320</v>
      </c>
      <c r="C376" s="15" t="s">
        <v>708</v>
      </c>
      <c r="D376" s="15" t="s">
        <v>725</v>
      </c>
      <c r="E376" s="15"/>
      <c r="F376" s="16" t="s">
        <v>85</v>
      </c>
      <c r="G376" s="31">
        <v>6</v>
      </c>
      <c r="H376" s="32" t="str">
        <f>_xlfn.DISPIMG("ID_8F7956590D384525B21F84279142BC92",1)</f>
        <v>=DISPIMG("ID_8F7956590D384525B21F84279142BC92",1)</v>
      </c>
    </row>
    <row r="377" s="2" customFormat="1" customHeight="1" spans="1:8">
      <c r="A377" s="13">
        <v>376</v>
      </c>
      <c r="B377" s="14" t="s">
        <v>320</v>
      </c>
      <c r="C377" s="15" t="s">
        <v>708</v>
      </c>
      <c r="D377" s="16" t="s">
        <v>726</v>
      </c>
      <c r="E377" s="15" t="s">
        <v>727</v>
      </c>
      <c r="F377" s="16" t="s">
        <v>719</v>
      </c>
      <c r="G377" s="17">
        <v>108</v>
      </c>
      <c r="H377" s="15" t="str">
        <f>_xlfn.DISPIMG("ID_9E43B92169354146A66F0A310F137101",1)</f>
        <v>=DISPIMG("ID_9E43B92169354146A66F0A310F137101",1)</v>
      </c>
    </row>
    <row r="378" s="2" customFormat="1" customHeight="1" spans="1:8">
      <c r="A378" s="13">
        <v>377</v>
      </c>
      <c r="B378" s="14" t="s">
        <v>320</v>
      </c>
      <c r="C378" s="15" t="s">
        <v>708</v>
      </c>
      <c r="D378" s="16" t="s">
        <v>728</v>
      </c>
      <c r="E378" s="15" t="s">
        <v>729</v>
      </c>
      <c r="F378" s="16" t="s">
        <v>730</v>
      </c>
      <c r="G378" s="17">
        <v>60</v>
      </c>
      <c r="H378" s="15" t="str">
        <f>_xlfn.DISPIMG("ID_9772CF4C9AE04499B392EC4F3D6492B5",1)</f>
        <v>=DISPIMG("ID_9772CF4C9AE04499B392EC4F3D6492B5",1)</v>
      </c>
    </row>
    <row r="379" s="2" customFormat="1" customHeight="1" spans="1:8">
      <c r="A379" s="13">
        <v>378</v>
      </c>
      <c r="B379" s="14" t="s">
        <v>320</v>
      </c>
      <c r="C379" s="15" t="s">
        <v>708</v>
      </c>
      <c r="D379" s="16" t="s">
        <v>731</v>
      </c>
      <c r="E379" s="16" t="s">
        <v>731</v>
      </c>
      <c r="F379" s="16" t="s">
        <v>732</v>
      </c>
      <c r="G379" s="25">
        <v>50</v>
      </c>
      <c r="H379" s="16"/>
    </row>
    <row r="380" s="2" customFormat="1" customHeight="1" spans="1:8">
      <c r="A380" s="13">
        <v>379</v>
      </c>
      <c r="B380" s="14" t="s">
        <v>320</v>
      </c>
      <c r="C380" s="15" t="s">
        <v>708</v>
      </c>
      <c r="D380" s="16" t="s">
        <v>733</v>
      </c>
      <c r="E380" s="15" t="s">
        <v>734</v>
      </c>
      <c r="F380" s="16" t="s">
        <v>735</v>
      </c>
      <c r="G380" s="17">
        <v>30</v>
      </c>
      <c r="H380" s="15" t="str">
        <f>_xlfn.DISPIMG("ID_757A8B425BC140F49659D1DA77095D47",1)</f>
        <v>=DISPIMG("ID_757A8B425BC140F49659D1DA77095D47",1)</v>
      </c>
    </row>
    <row r="381" s="2" customFormat="1" customHeight="1" spans="1:8">
      <c r="A381" s="13">
        <v>380</v>
      </c>
      <c r="B381" s="14" t="s">
        <v>320</v>
      </c>
      <c r="C381" s="15" t="s">
        <v>708</v>
      </c>
      <c r="D381" s="16" t="s">
        <v>736</v>
      </c>
      <c r="E381" s="15" t="s">
        <v>734</v>
      </c>
      <c r="F381" s="16" t="s">
        <v>169</v>
      </c>
      <c r="G381" s="17">
        <v>65</v>
      </c>
      <c r="H381" s="15" t="str">
        <f>_xlfn.DISPIMG("ID_E7412DB9EA7E414C97854BDFA1939A3E",1)</f>
        <v>=DISPIMG("ID_E7412DB9EA7E414C97854BDFA1939A3E",1)</v>
      </c>
    </row>
    <row r="382" s="2" customFormat="1" customHeight="1" spans="1:8">
      <c r="A382" s="13">
        <v>381</v>
      </c>
      <c r="B382" s="14" t="s">
        <v>320</v>
      </c>
      <c r="C382" s="15" t="s">
        <v>708</v>
      </c>
      <c r="D382" s="16" t="s">
        <v>737</v>
      </c>
      <c r="E382" s="15" t="s">
        <v>737</v>
      </c>
      <c r="F382" s="16" t="s">
        <v>501</v>
      </c>
      <c r="G382" s="25">
        <v>2.5</v>
      </c>
      <c r="H382" s="16" t="str">
        <f>_xlfn.DISPIMG("ID_3B1DF444D9CC4874863FA961B4BDDF52",1)</f>
        <v>=DISPIMG("ID_3B1DF444D9CC4874863FA961B4BDDF52",1)</v>
      </c>
    </row>
    <row r="383" s="2" customFormat="1" customHeight="1" spans="1:8">
      <c r="A383" s="13">
        <v>382</v>
      </c>
      <c r="B383" s="14" t="s">
        <v>320</v>
      </c>
      <c r="C383" s="15" t="s">
        <v>708</v>
      </c>
      <c r="D383" s="16" t="s">
        <v>737</v>
      </c>
      <c r="E383" s="15" t="s">
        <v>737</v>
      </c>
      <c r="F383" s="16" t="s">
        <v>738</v>
      </c>
      <c r="G383" s="17">
        <v>28</v>
      </c>
      <c r="H383" s="15" t="str">
        <f>_xlfn.DISPIMG("ID_F8659E36C1C14AC284E994F06574EDED",1)</f>
        <v>=DISPIMG("ID_F8659E36C1C14AC284E994F06574EDED",1)</v>
      </c>
    </row>
    <row r="384" s="2" customFormat="1" customHeight="1" spans="1:8">
      <c r="A384" s="13">
        <v>383</v>
      </c>
      <c r="B384" s="14" t="s">
        <v>320</v>
      </c>
      <c r="C384" s="15" t="s">
        <v>708</v>
      </c>
      <c r="D384" s="16" t="s">
        <v>739</v>
      </c>
      <c r="E384" s="16"/>
      <c r="F384" s="16" t="s">
        <v>85</v>
      </c>
      <c r="G384" s="17">
        <v>8</v>
      </c>
      <c r="H384" s="15" t="str">
        <f>_xlfn.DISPIMG("ID_B1B764BB5DBB4B4B9AA20199B0627552",1)</f>
        <v>=DISPIMG("ID_B1B764BB5DBB4B4B9AA20199B0627552",1)</v>
      </c>
    </row>
    <row r="385" s="2" customFormat="1" customHeight="1" spans="1:8">
      <c r="A385" s="13">
        <v>384</v>
      </c>
      <c r="B385" s="14" t="s">
        <v>320</v>
      </c>
      <c r="C385" s="15" t="s">
        <v>708</v>
      </c>
      <c r="D385" s="16" t="s">
        <v>740</v>
      </c>
      <c r="E385" s="15"/>
      <c r="F385" s="16" t="s">
        <v>741</v>
      </c>
      <c r="G385" s="17">
        <v>6.5</v>
      </c>
      <c r="H385" s="15" t="str">
        <f>_xlfn.DISPIMG("ID_F1A5B37BC90F4D1492511A8C0103F7DA",1)</f>
        <v>=DISPIMG("ID_F1A5B37BC90F4D1492511A8C0103F7DA",1)</v>
      </c>
    </row>
    <row r="386" s="2" customFormat="1" customHeight="1" spans="1:8">
      <c r="A386" s="13">
        <v>385</v>
      </c>
      <c r="B386" s="14" t="s">
        <v>320</v>
      </c>
      <c r="C386" s="15" t="s">
        <v>708</v>
      </c>
      <c r="D386" s="16" t="s">
        <v>742</v>
      </c>
      <c r="E386" s="15"/>
      <c r="F386" s="16" t="s">
        <v>743</v>
      </c>
      <c r="G386" s="17">
        <v>6</v>
      </c>
      <c r="H386" s="15" t="str">
        <f>_xlfn.DISPIMG("ID_69F1088FE26141018991A54C4DA7FAF9",1)</f>
        <v>=DISPIMG("ID_69F1088FE26141018991A54C4DA7FAF9",1)</v>
      </c>
    </row>
    <row r="387" s="2" customFormat="1" customHeight="1" spans="1:8">
      <c r="A387" s="13">
        <v>386</v>
      </c>
      <c r="B387" s="14" t="s">
        <v>320</v>
      </c>
      <c r="C387" s="15" t="s">
        <v>708</v>
      </c>
      <c r="D387" s="16" t="s">
        <v>744</v>
      </c>
      <c r="E387" s="15"/>
      <c r="F387" s="16" t="s">
        <v>745</v>
      </c>
      <c r="G387" s="17">
        <v>6.5</v>
      </c>
      <c r="H387" s="15" t="str">
        <f>_xlfn.DISPIMG("ID_752B41F49E05474CA703AE0A39986E57",1)</f>
        <v>=DISPIMG("ID_752B41F49E05474CA703AE0A39986E57",1)</v>
      </c>
    </row>
    <row r="388" s="2" customFormat="1" customHeight="1" spans="1:8">
      <c r="A388" s="13">
        <v>387</v>
      </c>
      <c r="B388" s="14" t="s">
        <v>320</v>
      </c>
      <c r="C388" s="15" t="s">
        <v>708</v>
      </c>
      <c r="D388" s="16" t="s">
        <v>746</v>
      </c>
      <c r="E388" s="15"/>
      <c r="F388" s="16" t="s">
        <v>747</v>
      </c>
      <c r="G388" s="17">
        <v>5.5</v>
      </c>
      <c r="H388" s="15" t="str">
        <f>_xlfn.DISPIMG("ID_BF44D0C576C54E589A6BF11EB3EC0CC0",1)</f>
        <v>=DISPIMG("ID_BF44D0C576C54E589A6BF11EB3EC0CC0",1)</v>
      </c>
    </row>
    <row r="389" s="2" customFormat="1" customHeight="1" spans="1:8">
      <c r="A389" s="13">
        <v>388</v>
      </c>
      <c r="B389" s="14" t="s">
        <v>320</v>
      </c>
      <c r="C389" s="15" t="s">
        <v>708</v>
      </c>
      <c r="D389" s="16" t="s">
        <v>748</v>
      </c>
      <c r="E389" s="15"/>
      <c r="F389" s="16" t="s">
        <v>749</v>
      </c>
      <c r="G389" s="17">
        <v>5.5</v>
      </c>
      <c r="H389" s="15" t="str">
        <f>_xlfn.DISPIMG("ID_B7DFCC2F580C41F4852BA4B2CD924923",1)</f>
        <v>=DISPIMG("ID_B7DFCC2F580C41F4852BA4B2CD924923",1)</v>
      </c>
    </row>
    <row r="390" s="2" customFormat="1" customHeight="1" spans="1:8">
      <c r="A390" s="13">
        <v>389</v>
      </c>
      <c r="B390" s="14" t="s">
        <v>320</v>
      </c>
      <c r="C390" s="15" t="s">
        <v>708</v>
      </c>
      <c r="D390" s="16" t="s">
        <v>750</v>
      </c>
      <c r="E390" s="15"/>
      <c r="F390" s="16" t="s">
        <v>751</v>
      </c>
      <c r="G390" s="17">
        <v>6</v>
      </c>
      <c r="H390" s="15" t="str">
        <f>_xlfn.DISPIMG("ID_CB0B19C1D4DA4B84B9348B6AE2A5DD2E",1)</f>
        <v>=DISPIMG("ID_CB0B19C1D4DA4B84B9348B6AE2A5DD2E",1)</v>
      </c>
    </row>
    <row r="391" s="2" customFormat="1" customHeight="1" spans="1:8">
      <c r="A391" s="13">
        <v>390</v>
      </c>
      <c r="B391" s="14" t="s">
        <v>320</v>
      </c>
      <c r="C391" s="15" t="s">
        <v>708</v>
      </c>
      <c r="D391" s="16" t="s">
        <v>752</v>
      </c>
      <c r="E391" s="15"/>
      <c r="F391" s="16" t="s">
        <v>85</v>
      </c>
      <c r="G391" s="17">
        <v>3.5</v>
      </c>
      <c r="H391" s="15" t="str">
        <f>_xlfn.DISPIMG("ID_0747B95649DC4E329A778E6073FD11B3",1)</f>
        <v>=DISPIMG("ID_0747B95649DC4E329A778E6073FD11B3",1)</v>
      </c>
    </row>
    <row r="392" s="2" customFormat="1" customHeight="1" spans="1:8">
      <c r="A392" s="13">
        <v>391</v>
      </c>
      <c r="B392" s="14" t="s">
        <v>320</v>
      </c>
      <c r="C392" s="15" t="s">
        <v>708</v>
      </c>
      <c r="D392" s="16" t="s">
        <v>753</v>
      </c>
      <c r="E392" s="15"/>
      <c r="F392" s="16" t="s">
        <v>85</v>
      </c>
      <c r="G392" s="17">
        <v>3.5</v>
      </c>
      <c r="H392" s="15" t="str">
        <f>_xlfn.DISPIMG("ID_A5810D4477F3413B8FF8A8736605F8E7",1)</f>
        <v>=DISPIMG("ID_A5810D4477F3413B8FF8A8736605F8E7",1)</v>
      </c>
    </row>
    <row r="393" s="2" customFormat="1" customHeight="1" spans="1:8">
      <c r="A393" s="13">
        <v>392</v>
      </c>
      <c r="B393" s="14" t="s">
        <v>320</v>
      </c>
      <c r="C393" s="15" t="s">
        <v>708</v>
      </c>
      <c r="D393" s="16" t="s">
        <v>754</v>
      </c>
      <c r="E393" s="15"/>
      <c r="F393" s="16" t="s">
        <v>755</v>
      </c>
      <c r="G393" s="17">
        <v>4</v>
      </c>
      <c r="H393" s="15" t="str">
        <f>_xlfn.DISPIMG("ID_B215C71C138C4B92B1868C2DE2060A71",1)</f>
        <v>=DISPIMG("ID_B215C71C138C4B92B1868C2DE2060A71",1)</v>
      </c>
    </row>
    <row r="394" s="2" customFormat="1" customHeight="1" spans="1:8">
      <c r="A394" s="13">
        <v>393</v>
      </c>
      <c r="B394" s="14" t="s">
        <v>320</v>
      </c>
      <c r="C394" s="15" t="s">
        <v>708</v>
      </c>
      <c r="D394" s="16" t="s">
        <v>723</v>
      </c>
      <c r="E394" s="16"/>
      <c r="F394" s="16" t="s">
        <v>85</v>
      </c>
      <c r="G394" s="25">
        <v>5</v>
      </c>
      <c r="H394" s="16" t="str">
        <f>_xlfn.DISPIMG("ID_61D93271032D455693AAD61EBF71F71B",1)</f>
        <v>=DISPIMG("ID_61D93271032D455693AAD61EBF71F71B",1)</v>
      </c>
    </row>
    <row r="395" s="2" customFormat="1" customHeight="1" spans="1:8">
      <c r="A395" s="13">
        <v>394</v>
      </c>
      <c r="B395" s="15" t="s">
        <v>320</v>
      </c>
      <c r="C395" s="15" t="s">
        <v>708</v>
      </c>
      <c r="D395" s="16" t="s">
        <v>756</v>
      </c>
      <c r="E395" s="15" t="s">
        <v>757</v>
      </c>
      <c r="F395" s="16" t="s">
        <v>169</v>
      </c>
      <c r="G395" s="17">
        <v>50</v>
      </c>
      <c r="H395" s="15" t="str">
        <f>_xlfn.DISPIMG("ID_AF9B4438CE9D4AC09A136CA4D75A6375",1)</f>
        <v>=DISPIMG("ID_AF9B4438CE9D4AC09A136CA4D75A6375",1)</v>
      </c>
    </row>
    <row r="396" s="2" customFormat="1" customHeight="1" spans="1:8">
      <c r="A396" s="13">
        <v>395</v>
      </c>
      <c r="B396" s="15" t="s">
        <v>320</v>
      </c>
      <c r="C396" s="15" t="s">
        <v>708</v>
      </c>
      <c r="D396" s="16" t="s">
        <v>758</v>
      </c>
      <c r="E396" s="15" t="s">
        <v>759</v>
      </c>
      <c r="F396" s="16" t="s">
        <v>169</v>
      </c>
      <c r="G396" s="17">
        <v>56.63</v>
      </c>
      <c r="H396" s="15" t="str">
        <f>_xlfn.DISPIMG("ID_25E61C4B51694937B58D521D1BD5E380",1)</f>
        <v>=DISPIMG("ID_25E61C4B51694937B58D521D1BD5E380",1)</v>
      </c>
    </row>
    <row r="397" s="2" customFormat="1" customHeight="1" spans="1:8">
      <c r="A397" s="13">
        <v>396</v>
      </c>
      <c r="B397" s="15" t="s">
        <v>320</v>
      </c>
      <c r="C397" s="15" t="s">
        <v>760</v>
      </c>
      <c r="D397" s="15" t="s">
        <v>761</v>
      </c>
      <c r="E397" s="15" t="s">
        <v>762</v>
      </c>
      <c r="F397" s="16" t="s">
        <v>85</v>
      </c>
      <c r="G397" s="17">
        <v>20</v>
      </c>
      <c r="H397" s="15" t="str">
        <f>_xlfn.DISPIMG("ID_07280203B4EF405898F3EDDDC96BE411",1)</f>
        <v>=DISPIMG("ID_07280203B4EF405898F3EDDDC96BE411",1)</v>
      </c>
    </row>
    <row r="398" s="2" customFormat="1" customHeight="1" spans="1:8">
      <c r="A398" s="13">
        <v>397</v>
      </c>
      <c r="B398" s="15" t="s">
        <v>320</v>
      </c>
      <c r="C398" s="15" t="s">
        <v>760</v>
      </c>
      <c r="D398" s="15" t="s">
        <v>763</v>
      </c>
      <c r="E398" s="15"/>
      <c r="F398" s="16" t="s">
        <v>85</v>
      </c>
      <c r="G398" s="17">
        <v>40</v>
      </c>
      <c r="H398" s="15" t="str">
        <f>_xlfn.DISPIMG("ID_2F87C3BE84E142F39729C98DC93F5D88",1)</f>
        <v>=DISPIMG("ID_2F87C3BE84E142F39729C98DC93F5D88",1)</v>
      </c>
    </row>
    <row r="399" s="2" customFormat="1" customHeight="1" spans="1:8">
      <c r="A399" s="13">
        <v>398</v>
      </c>
      <c r="B399" s="15" t="s">
        <v>320</v>
      </c>
      <c r="C399" s="15" t="s">
        <v>760</v>
      </c>
      <c r="D399" s="15" t="s">
        <v>764</v>
      </c>
      <c r="E399" s="15"/>
      <c r="F399" s="16" t="s">
        <v>85</v>
      </c>
      <c r="G399" s="17">
        <v>22</v>
      </c>
      <c r="H399" s="15" t="str">
        <f>_xlfn.DISPIMG("ID_53B1173AAF6943A294CFF6A8E00F368F",1)</f>
        <v>=DISPIMG("ID_53B1173AAF6943A294CFF6A8E00F368F",1)</v>
      </c>
    </row>
    <row r="400" s="2" customFormat="1" customHeight="1" spans="1:8">
      <c r="A400" s="13">
        <v>399</v>
      </c>
      <c r="B400" s="14" t="s">
        <v>320</v>
      </c>
      <c r="C400" s="15" t="s">
        <v>760</v>
      </c>
      <c r="D400" s="16" t="s">
        <v>765</v>
      </c>
      <c r="E400" s="15"/>
      <c r="F400" s="16" t="s">
        <v>85</v>
      </c>
      <c r="G400" s="17">
        <v>25</v>
      </c>
      <c r="H400" s="15" t="str">
        <f>_xlfn.DISPIMG("ID_B2AE4068A7674D36BCF2B2D8059B208E",1)</f>
        <v>=DISPIMG("ID_B2AE4068A7674D36BCF2B2D8059B208E",1)</v>
      </c>
    </row>
    <row r="401" s="2" customFormat="1" customHeight="1" spans="1:8">
      <c r="A401" s="13">
        <v>400</v>
      </c>
      <c r="B401" s="15" t="s">
        <v>320</v>
      </c>
      <c r="C401" s="15" t="s">
        <v>760</v>
      </c>
      <c r="D401" s="16" t="s">
        <v>766</v>
      </c>
      <c r="E401" s="16"/>
      <c r="F401" s="16" t="s">
        <v>85</v>
      </c>
      <c r="G401" s="17">
        <v>45</v>
      </c>
      <c r="H401" s="15" t="str">
        <f>_xlfn.DISPIMG("ID_A0C1C11340D645698B71A198933D143B",1)</f>
        <v>=DISPIMG("ID_A0C1C11340D645698B71A198933D143B",1)</v>
      </c>
    </row>
    <row r="402" s="2" customFormat="1" customHeight="1" spans="1:8">
      <c r="A402" s="13">
        <v>401</v>
      </c>
      <c r="B402" s="15" t="s">
        <v>320</v>
      </c>
      <c r="C402" s="15" t="s">
        <v>760</v>
      </c>
      <c r="D402" s="16" t="s">
        <v>767</v>
      </c>
      <c r="E402" s="16"/>
      <c r="F402" s="16" t="s">
        <v>85</v>
      </c>
      <c r="G402" s="17">
        <v>40</v>
      </c>
      <c r="H402" s="15" t="str">
        <f>_xlfn.DISPIMG("ID_F0724FEEC3D24A148BAAECA045E0CF78",1)</f>
        <v>=DISPIMG("ID_F0724FEEC3D24A148BAAECA045E0CF78",1)</v>
      </c>
    </row>
    <row r="403" s="2" customFormat="1" customHeight="1" spans="1:8">
      <c r="A403" s="13">
        <v>402</v>
      </c>
      <c r="B403" s="15" t="s">
        <v>320</v>
      </c>
      <c r="C403" s="15" t="s">
        <v>760</v>
      </c>
      <c r="D403" s="16" t="s">
        <v>768</v>
      </c>
      <c r="E403" s="15"/>
      <c r="F403" s="16" t="s">
        <v>769</v>
      </c>
      <c r="G403" s="17">
        <v>30</v>
      </c>
      <c r="H403" s="15" t="str">
        <f>_xlfn.DISPIMG("ID_0D97441B78E349A39E7C3013E5F2D41F",1)</f>
        <v>=DISPIMG("ID_0D97441B78E349A39E7C3013E5F2D41F",1)</v>
      </c>
    </row>
    <row r="404" s="2" customFormat="1" customHeight="1" spans="1:8">
      <c r="A404" s="13">
        <v>403</v>
      </c>
      <c r="B404" s="15" t="s">
        <v>320</v>
      </c>
      <c r="C404" s="15" t="s">
        <v>760</v>
      </c>
      <c r="D404" s="16" t="s">
        <v>770</v>
      </c>
      <c r="E404" s="15"/>
      <c r="F404" s="16" t="s">
        <v>85</v>
      </c>
      <c r="G404" s="17">
        <v>38</v>
      </c>
      <c r="H404" s="15" t="str">
        <f>_xlfn.DISPIMG("ID_D04B7D8EF33A46818E4A4E275E2A3AF6",1)</f>
        <v>=DISPIMG("ID_D04B7D8EF33A46818E4A4E275E2A3AF6",1)</v>
      </c>
    </row>
    <row r="405" s="2" customFormat="1" customHeight="1" spans="1:8">
      <c r="A405" s="13">
        <v>404</v>
      </c>
      <c r="B405" s="15" t="s">
        <v>320</v>
      </c>
      <c r="C405" s="15" t="s">
        <v>760</v>
      </c>
      <c r="D405" s="16" t="s">
        <v>771</v>
      </c>
      <c r="E405" s="15"/>
      <c r="F405" s="16" t="s">
        <v>772</v>
      </c>
      <c r="G405" s="17">
        <v>27</v>
      </c>
      <c r="H405" s="15" t="str">
        <f>_xlfn.DISPIMG("ID_E515776915A94124B5CC136FCAFA4374",1)</f>
        <v>=DISPIMG("ID_E515776915A94124B5CC136FCAFA4374",1)</v>
      </c>
    </row>
    <row r="406" s="2" customFormat="1" customHeight="1" spans="1:8">
      <c r="A406" s="13">
        <v>405</v>
      </c>
      <c r="B406" s="15" t="s">
        <v>320</v>
      </c>
      <c r="C406" s="15" t="s">
        <v>760</v>
      </c>
      <c r="D406" s="15" t="s">
        <v>773</v>
      </c>
      <c r="E406" s="15"/>
      <c r="F406" s="16" t="s">
        <v>85</v>
      </c>
      <c r="G406" s="17">
        <v>45</v>
      </c>
      <c r="H406" s="15" t="str">
        <f>_xlfn.DISPIMG("ID_531B5F6DB35149C3B0040CEB77E7D77C",1)</f>
        <v>=DISPIMG("ID_531B5F6DB35149C3B0040CEB77E7D77C",1)</v>
      </c>
    </row>
    <row r="407" s="2" customFormat="1" customHeight="1" spans="1:8">
      <c r="A407" s="13">
        <v>406</v>
      </c>
      <c r="B407" s="15" t="s">
        <v>320</v>
      </c>
      <c r="C407" s="15" t="s">
        <v>760</v>
      </c>
      <c r="D407" s="16" t="s">
        <v>774</v>
      </c>
      <c r="E407" s="15"/>
      <c r="F407" s="16" t="s">
        <v>775</v>
      </c>
      <c r="G407" s="17">
        <v>36</v>
      </c>
      <c r="H407" s="15" t="str">
        <f>_xlfn.DISPIMG("ID_53FC8E47D8564A53A351217BF36C2CDE",1)</f>
        <v>=DISPIMG("ID_53FC8E47D8564A53A351217BF36C2CDE",1)</v>
      </c>
    </row>
    <row r="408" s="2" customFormat="1" customHeight="1" spans="1:8">
      <c r="A408" s="13">
        <v>407</v>
      </c>
      <c r="B408" s="15" t="s">
        <v>320</v>
      </c>
      <c r="C408" s="15" t="s">
        <v>760</v>
      </c>
      <c r="D408" s="16" t="s">
        <v>776</v>
      </c>
      <c r="E408" s="15"/>
      <c r="F408" s="16" t="s">
        <v>777</v>
      </c>
      <c r="G408" s="17">
        <v>21.5</v>
      </c>
      <c r="H408" s="15" t="str">
        <f>_xlfn.DISPIMG("ID_F5BACF2B8BF249E08D2E36A998B279F4",1)</f>
        <v>=DISPIMG("ID_F5BACF2B8BF249E08D2E36A998B279F4",1)</v>
      </c>
    </row>
    <row r="409" s="2" customFormat="1" customHeight="1" spans="1:8">
      <c r="A409" s="13">
        <v>408</v>
      </c>
      <c r="B409" s="15" t="s">
        <v>320</v>
      </c>
      <c r="C409" s="15" t="s">
        <v>760</v>
      </c>
      <c r="D409" s="16" t="s">
        <v>778</v>
      </c>
      <c r="E409" s="15"/>
      <c r="F409" s="16" t="s">
        <v>85</v>
      </c>
      <c r="G409" s="17">
        <v>93.5</v>
      </c>
      <c r="H409" s="15" t="str">
        <f>_xlfn.DISPIMG("ID_976CD6FCA1C64082BF777A77990FC918",1)</f>
        <v>=DISPIMG("ID_976CD6FCA1C64082BF777A77990FC918",1)</v>
      </c>
    </row>
    <row r="410" s="2" customFormat="1" customHeight="1" spans="1:8">
      <c r="A410" s="13">
        <v>409</v>
      </c>
      <c r="B410" s="15" t="s">
        <v>320</v>
      </c>
      <c r="C410" s="15" t="s">
        <v>760</v>
      </c>
      <c r="D410" s="16" t="s">
        <v>779</v>
      </c>
      <c r="E410" s="15"/>
      <c r="F410" s="16" t="s">
        <v>85</v>
      </c>
      <c r="G410" s="17">
        <v>92.5</v>
      </c>
      <c r="H410" s="15" t="str">
        <f>_xlfn.DISPIMG("ID_70A5E800178048B6A880E9B093628A58",1)</f>
        <v>=DISPIMG("ID_70A5E800178048B6A880E9B093628A58",1)</v>
      </c>
    </row>
    <row r="411" s="2" customFormat="1" customHeight="1" spans="1:8">
      <c r="A411" s="13">
        <v>410</v>
      </c>
      <c r="B411" s="15" t="s">
        <v>320</v>
      </c>
      <c r="C411" s="15" t="s">
        <v>760</v>
      </c>
      <c r="D411" s="16" t="s">
        <v>780</v>
      </c>
      <c r="E411" s="15"/>
      <c r="F411" s="16" t="s">
        <v>781</v>
      </c>
      <c r="G411" s="17">
        <v>68</v>
      </c>
      <c r="H411" s="15" t="str">
        <f>_xlfn.DISPIMG("ID_F52A429CBA9F4068B2923A364C6637A4",1)</f>
        <v>=DISPIMG("ID_F52A429CBA9F4068B2923A364C6637A4",1)</v>
      </c>
    </row>
    <row r="412" s="2" customFormat="1" customHeight="1" spans="1:8">
      <c r="A412" s="13">
        <v>411</v>
      </c>
      <c r="B412" s="15" t="s">
        <v>320</v>
      </c>
      <c r="C412" s="15" t="s">
        <v>760</v>
      </c>
      <c r="D412" s="16" t="s">
        <v>782</v>
      </c>
      <c r="E412" s="15"/>
      <c r="F412" s="16" t="s">
        <v>783</v>
      </c>
      <c r="G412" s="17">
        <v>39.2333333333333</v>
      </c>
      <c r="H412" s="15" t="str">
        <f>_xlfn.DISPIMG("ID_2548BBB29C7643DC9D0301CCBA9E4C74",1)</f>
        <v>=DISPIMG("ID_2548BBB29C7643DC9D0301CCBA9E4C74",1)</v>
      </c>
    </row>
    <row r="413" s="2" customFormat="1" customHeight="1" spans="1:8">
      <c r="A413" s="13">
        <v>412</v>
      </c>
      <c r="B413" s="15" t="s">
        <v>320</v>
      </c>
      <c r="C413" s="15" t="s">
        <v>760</v>
      </c>
      <c r="D413" s="16" t="s">
        <v>784</v>
      </c>
      <c r="E413" s="15"/>
      <c r="F413" s="16" t="s">
        <v>785</v>
      </c>
      <c r="G413" s="17">
        <v>25.9</v>
      </c>
      <c r="H413" s="15" t="str">
        <f>_xlfn.DISPIMG("ID_62388B363D4F47CB8508B1BAF62BFE97",1)</f>
        <v>=DISPIMG("ID_62388B363D4F47CB8508B1BAF62BFE97",1)</v>
      </c>
    </row>
    <row r="414" s="2" customFormat="1" customHeight="1" spans="1:8">
      <c r="A414" s="13">
        <v>413</v>
      </c>
      <c r="B414" s="15" t="s">
        <v>320</v>
      </c>
      <c r="C414" s="15" t="s">
        <v>760</v>
      </c>
      <c r="D414" s="16" t="s">
        <v>786</v>
      </c>
      <c r="E414" s="15"/>
      <c r="F414" s="16" t="s">
        <v>787</v>
      </c>
      <c r="G414" s="17">
        <v>42</v>
      </c>
      <c r="H414" s="15" t="str">
        <f>_xlfn.DISPIMG("ID_18BD0CE75E3348F5BA8FABB6386D9CAB",1)</f>
        <v>=DISPIMG("ID_18BD0CE75E3348F5BA8FABB6386D9CAB",1)</v>
      </c>
    </row>
    <row r="415" s="2" customFormat="1" customHeight="1" spans="1:8">
      <c r="A415" s="13">
        <v>414</v>
      </c>
      <c r="B415" s="15" t="s">
        <v>320</v>
      </c>
      <c r="C415" s="15" t="s">
        <v>760</v>
      </c>
      <c r="D415" s="16" t="s">
        <v>788</v>
      </c>
      <c r="E415" s="15"/>
      <c r="F415" s="16" t="s">
        <v>789</v>
      </c>
      <c r="G415" s="17">
        <v>39</v>
      </c>
      <c r="H415" s="15" t="str">
        <f>_xlfn.DISPIMG("ID_3A1860EBC0F447CBA6140AD723EC1530",1)</f>
        <v>=DISPIMG("ID_3A1860EBC0F447CBA6140AD723EC1530",1)</v>
      </c>
    </row>
    <row r="416" s="2" customFormat="1" customHeight="1" spans="1:8">
      <c r="A416" s="13">
        <v>415</v>
      </c>
      <c r="B416" s="15" t="s">
        <v>320</v>
      </c>
      <c r="C416" s="15" t="s">
        <v>760</v>
      </c>
      <c r="D416" s="16" t="s">
        <v>790</v>
      </c>
      <c r="E416" s="15"/>
      <c r="F416" s="16" t="s">
        <v>791</v>
      </c>
      <c r="G416" s="17">
        <v>48</v>
      </c>
      <c r="H416" s="15" t="str">
        <f>_xlfn.DISPIMG("ID_27A40F87AF9D46098BEDEFD2BAB5F137",1)</f>
        <v>=DISPIMG("ID_27A40F87AF9D46098BEDEFD2BAB5F137",1)</v>
      </c>
    </row>
    <row r="417" s="2" customFormat="1" customHeight="1" spans="1:8">
      <c r="A417" s="13">
        <v>416</v>
      </c>
      <c r="B417" s="15" t="s">
        <v>320</v>
      </c>
      <c r="C417" s="15" t="s">
        <v>760</v>
      </c>
      <c r="D417" s="16" t="s">
        <v>792</v>
      </c>
      <c r="E417" s="15"/>
      <c r="F417" s="16" t="s">
        <v>793</v>
      </c>
      <c r="G417" s="17">
        <v>43.6666666666667</v>
      </c>
      <c r="H417" s="15" t="str">
        <f>_xlfn.DISPIMG("ID_9E45FACD003A44AD84B6388CF34616F2",1)</f>
        <v>=DISPIMG("ID_9E45FACD003A44AD84B6388CF34616F2",1)</v>
      </c>
    </row>
    <row r="418" s="2" customFormat="1" customHeight="1" spans="1:8">
      <c r="A418" s="13">
        <v>417</v>
      </c>
      <c r="B418" s="15" t="s">
        <v>320</v>
      </c>
      <c r="C418" s="15" t="s">
        <v>760</v>
      </c>
      <c r="D418" s="16" t="s">
        <v>794</v>
      </c>
      <c r="E418" s="15"/>
      <c r="F418" s="16" t="s">
        <v>795</v>
      </c>
      <c r="G418" s="17">
        <v>35</v>
      </c>
      <c r="H418" s="15" t="str">
        <f>_xlfn.DISPIMG("ID_FEB171A0E87E416AA70084F9D6A4617D",1)</f>
        <v>=DISPIMG("ID_FEB171A0E87E416AA70084F9D6A4617D",1)</v>
      </c>
    </row>
    <row r="419" s="5" customFormat="1" customHeight="1" spans="1:8">
      <c r="A419" s="13">
        <v>418</v>
      </c>
      <c r="B419" s="26" t="s">
        <v>557</v>
      </c>
      <c r="C419" s="26" t="s">
        <v>796</v>
      </c>
      <c r="D419" s="26" t="s">
        <v>797</v>
      </c>
      <c r="E419" s="26" t="s">
        <v>798</v>
      </c>
      <c r="F419" s="27" t="s">
        <v>799</v>
      </c>
      <c r="G419" s="28">
        <v>330</v>
      </c>
      <c r="H419" s="26"/>
    </row>
    <row r="420" s="5" customFormat="1" customHeight="1" spans="1:8">
      <c r="A420" s="13">
        <v>419</v>
      </c>
      <c r="B420" s="26" t="s">
        <v>557</v>
      </c>
      <c r="C420" s="26" t="s">
        <v>796</v>
      </c>
      <c r="D420" s="26" t="s">
        <v>800</v>
      </c>
      <c r="E420" s="26" t="s">
        <v>801</v>
      </c>
      <c r="F420" s="27" t="s">
        <v>802</v>
      </c>
      <c r="G420" s="28">
        <v>7</v>
      </c>
      <c r="H420" s="26"/>
    </row>
    <row r="421" s="2" customFormat="1" customHeight="1" spans="1:8">
      <c r="A421" s="13">
        <v>420</v>
      </c>
      <c r="B421" s="15" t="s">
        <v>320</v>
      </c>
      <c r="C421" s="15" t="s">
        <v>803</v>
      </c>
      <c r="D421" s="15" t="s">
        <v>804</v>
      </c>
      <c r="E421" s="15" t="s">
        <v>805</v>
      </c>
      <c r="F421" s="16" t="s">
        <v>806</v>
      </c>
      <c r="G421" s="17">
        <v>80</v>
      </c>
      <c r="H421" s="15" t="str">
        <f>_xlfn.DISPIMG("ID_61CDD93D85D2402781CC0838D1D97A7B",1)</f>
        <v>=DISPIMG("ID_61CDD93D85D2402781CC0838D1D97A7B",1)</v>
      </c>
    </row>
    <row r="422" s="2" customFormat="1" customHeight="1" spans="1:8">
      <c r="A422" s="13">
        <v>421</v>
      </c>
      <c r="B422" s="15" t="s">
        <v>320</v>
      </c>
      <c r="C422" s="15" t="s">
        <v>803</v>
      </c>
      <c r="D422" s="16" t="s">
        <v>807</v>
      </c>
      <c r="E422" s="15" t="s">
        <v>808</v>
      </c>
      <c r="F422" s="16" t="s">
        <v>362</v>
      </c>
      <c r="G422" s="17">
        <v>21</v>
      </c>
      <c r="H422" s="15" t="str">
        <f>_xlfn.DISPIMG("ID_BB3F661560984D449D264306D64962B8",1)</f>
        <v>=DISPIMG("ID_BB3F661560984D449D264306D64962B8",1)</v>
      </c>
    </row>
    <row r="423" s="2" customFormat="1" customHeight="1" spans="1:8">
      <c r="A423" s="13">
        <v>422</v>
      </c>
      <c r="B423" s="15" t="s">
        <v>320</v>
      </c>
      <c r="C423" s="15" t="s">
        <v>803</v>
      </c>
      <c r="D423" s="15" t="s">
        <v>809</v>
      </c>
      <c r="E423" s="15"/>
      <c r="F423" s="16" t="s">
        <v>810</v>
      </c>
      <c r="G423" s="17">
        <v>62</v>
      </c>
      <c r="H423" s="15" t="str">
        <f>_xlfn.DISPIMG("ID_E938BE5A8961493294AFDB5C76990F3D",1)</f>
        <v>=DISPIMG("ID_E938BE5A8961493294AFDB5C76990F3D",1)</v>
      </c>
    </row>
    <row r="424" s="2" customFormat="1" customHeight="1" spans="1:8">
      <c r="A424" s="13">
        <v>423</v>
      </c>
      <c r="B424" s="15" t="s">
        <v>320</v>
      </c>
      <c r="C424" s="15" t="s">
        <v>803</v>
      </c>
      <c r="D424" s="16" t="s">
        <v>811</v>
      </c>
      <c r="E424" s="15"/>
      <c r="F424" s="16" t="s">
        <v>812</v>
      </c>
      <c r="G424" s="17">
        <v>18.8</v>
      </c>
      <c r="H424" s="15" t="str">
        <f>_xlfn.DISPIMG("ID_3AF2F3C986934DB1A0629700FADDEA66",1)</f>
        <v>=DISPIMG("ID_3AF2F3C986934DB1A0629700FADDEA66",1)</v>
      </c>
    </row>
    <row r="425" s="2" customFormat="1" customHeight="1" spans="1:8">
      <c r="A425" s="13">
        <v>424</v>
      </c>
      <c r="B425" s="15" t="s">
        <v>320</v>
      </c>
      <c r="C425" s="15" t="s">
        <v>803</v>
      </c>
      <c r="D425" s="16" t="s">
        <v>813</v>
      </c>
      <c r="E425" s="15"/>
      <c r="F425" s="16" t="s">
        <v>814</v>
      </c>
      <c r="G425" s="17">
        <v>18</v>
      </c>
      <c r="H425" s="15" t="str">
        <f>_xlfn.DISPIMG("ID_22AB57A8917D4BDAB1B9EE19DC27A10A",1)</f>
        <v>=DISPIMG("ID_22AB57A8917D4BDAB1B9EE19DC27A10A",1)</v>
      </c>
    </row>
    <row r="426" s="2" customFormat="1" customHeight="1" spans="1:8">
      <c r="A426" s="13">
        <v>425</v>
      </c>
      <c r="B426" s="15" t="s">
        <v>320</v>
      </c>
      <c r="C426" s="15" t="s">
        <v>803</v>
      </c>
      <c r="D426" s="16" t="s">
        <v>815</v>
      </c>
      <c r="E426" s="15"/>
      <c r="F426" s="16" t="s">
        <v>816</v>
      </c>
      <c r="G426" s="17">
        <v>60</v>
      </c>
      <c r="H426" s="15" t="str">
        <f>_xlfn.DISPIMG("ID_BFF16C663DB14D1897D5C0E8244F388A",1)</f>
        <v>=DISPIMG("ID_BFF16C663DB14D1897D5C0E8244F388A",1)</v>
      </c>
    </row>
    <row r="427" s="2" customFormat="1" customHeight="1" spans="1:8">
      <c r="A427" s="13">
        <v>426</v>
      </c>
      <c r="B427" s="16" t="s">
        <v>320</v>
      </c>
      <c r="C427" s="15" t="s">
        <v>803</v>
      </c>
      <c r="D427" s="16" t="s">
        <v>817</v>
      </c>
      <c r="E427" s="16"/>
      <c r="F427" s="16" t="s">
        <v>85</v>
      </c>
      <c r="G427" s="17">
        <v>13</v>
      </c>
      <c r="H427" s="15" t="str">
        <f>_xlfn.DISPIMG("ID_964DBE34969D4D58B674E8DC77B1FF96",1)</f>
        <v>=DISPIMG("ID_964DBE34969D4D58B674E8DC77B1FF96",1)</v>
      </c>
    </row>
    <row r="428" s="2" customFormat="1" customHeight="1" spans="1:8">
      <c r="A428" s="13">
        <v>427</v>
      </c>
      <c r="B428" s="15" t="s">
        <v>320</v>
      </c>
      <c r="C428" s="15" t="s">
        <v>803</v>
      </c>
      <c r="D428" s="16" t="s">
        <v>818</v>
      </c>
      <c r="E428" s="15"/>
      <c r="F428" s="16" t="s">
        <v>819</v>
      </c>
      <c r="G428" s="17">
        <v>55.9</v>
      </c>
      <c r="H428" s="15" t="str">
        <f>_xlfn.DISPIMG("ID_B528FE363A1B4733A21D8EE7C8242026",1)</f>
        <v>=DISPIMG("ID_B528FE363A1B4733A21D8EE7C8242026",1)</v>
      </c>
    </row>
    <row r="429" s="2" customFormat="1" customHeight="1" spans="1:8">
      <c r="A429" s="13">
        <v>428</v>
      </c>
      <c r="B429" s="15" t="s">
        <v>320</v>
      </c>
      <c r="C429" s="15" t="s">
        <v>803</v>
      </c>
      <c r="D429" s="16" t="s">
        <v>820</v>
      </c>
      <c r="E429" s="15"/>
      <c r="F429" s="16" t="s">
        <v>821</v>
      </c>
      <c r="G429" s="17">
        <v>84</v>
      </c>
      <c r="H429" s="15" t="str">
        <f>_xlfn.DISPIMG("ID_B006CAC18754469AAAED0C6841DF5910",1)</f>
        <v>=DISPIMG("ID_B006CAC18754469AAAED0C6841DF5910",1)</v>
      </c>
    </row>
    <row r="430" s="2" customFormat="1" customHeight="1" spans="1:8">
      <c r="A430" s="13">
        <v>429</v>
      </c>
      <c r="B430" s="15" t="s">
        <v>320</v>
      </c>
      <c r="C430" s="15" t="s">
        <v>803</v>
      </c>
      <c r="D430" s="16" t="s">
        <v>822</v>
      </c>
      <c r="E430" s="15"/>
      <c r="F430" s="16" t="s">
        <v>823</v>
      </c>
      <c r="G430" s="17">
        <v>35</v>
      </c>
      <c r="H430" s="15" t="str">
        <f>_xlfn.DISPIMG("ID_A72CB40E705144B9B8E55E3914910CBC",1)</f>
        <v>=DISPIMG("ID_A72CB40E705144B9B8E55E3914910CBC",1)</v>
      </c>
    </row>
    <row r="431" s="2" customFormat="1" customHeight="1" spans="1:8">
      <c r="A431" s="13">
        <v>430</v>
      </c>
      <c r="B431" s="15" t="s">
        <v>320</v>
      </c>
      <c r="C431" s="15" t="s">
        <v>824</v>
      </c>
      <c r="D431" s="16" t="s">
        <v>825</v>
      </c>
      <c r="E431" s="15"/>
      <c r="F431" s="16" t="s">
        <v>85</v>
      </c>
      <c r="G431" s="17">
        <v>17.2</v>
      </c>
      <c r="H431" s="15" t="str">
        <f>_xlfn.DISPIMG("ID_B2C82C146D34475786A1C80C368768EC",1)</f>
        <v>=DISPIMG("ID_B2C82C146D34475786A1C80C368768EC",1)</v>
      </c>
    </row>
    <row r="432" s="2" customFormat="1" customHeight="1" spans="1:8">
      <c r="A432" s="13">
        <v>431</v>
      </c>
      <c r="B432" s="15" t="s">
        <v>320</v>
      </c>
      <c r="C432" s="15" t="s">
        <v>824</v>
      </c>
      <c r="D432" s="16" t="s">
        <v>826</v>
      </c>
      <c r="E432" s="15"/>
      <c r="F432" s="16" t="s">
        <v>827</v>
      </c>
      <c r="G432" s="17">
        <v>12.9</v>
      </c>
      <c r="H432" s="15" t="str">
        <f>_xlfn.DISPIMG("ID_168EB1D71CE64A4BBA5F1CD8BBDF7C38",1)</f>
        <v>=DISPIMG("ID_168EB1D71CE64A4BBA5F1CD8BBDF7C38",1)</v>
      </c>
    </row>
    <row r="433" s="2" customFormat="1" customHeight="1" spans="1:8">
      <c r="A433" s="13">
        <v>432</v>
      </c>
      <c r="B433" s="15" t="s">
        <v>320</v>
      </c>
      <c r="C433" s="15" t="s">
        <v>824</v>
      </c>
      <c r="D433" s="16" t="s">
        <v>828</v>
      </c>
      <c r="E433" s="15"/>
      <c r="F433" s="16" t="s">
        <v>829</v>
      </c>
      <c r="G433" s="17">
        <v>14</v>
      </c>
      <c r="H433" s="15" t="str">
        <f>_xlfn.DISPIMG("ID_D23E5F4664A5480499F1B6B080FD9FFA",1)</f>
        <v>=DISPIMG("ID_D23E5F4664A5480499F1B6B080FD9FFA",1)</v>
      </c>
    </row>
    <row r="434" s="2" customFormat="1" customHeight="1" spans="1:8">
      <c r="A434" s="13">
        <v>433</v>
      </c>
      <c r="B434" s="15" t="s">
        <v>830</v>
      </c>
      <c r="C434" s="15" t="s">
        <v>831</v>
      </c>
      <c r="D434" s="16" t="s">
        <v>832</v>
      </c>
      <c r="E434" s="15"/>
      <c r="F434" s="16" t="s">
        <v>833</v>
      </c>
      <c r="G434" s="17">
        <v>3.42666666666667</v>
      </c>
      <c r="H434" s="15" t="str">
        <f>_xlfn.DISPIMG("ID_175C91BF622F43A69C19891DDDD7ACB7",1)</f>
        <v>=DISPIMG("ID_175C91BF622F43A69C19891DDDD7ACB7",1)</v>
      </c>
    </row>
    <row r="435" s="2" customFormat="1" customHeight="1" spans="1:8">
      <c r="A435" s="13">
        <v>434</v>
      </c>
      <c r="B435" s="15" t="s">
        <v>830</v>
      </c>
      <c r="C435" s="15" t="s">
        <v>831</v>
      </c>
      <c r="D435" s="16" t="s">
        <v>834</v>
      </c>
      <c r="E435" s="15"/>
      <c r="F435" s="16" t="s">
        <v>835</v>
      </c>
      <c r="G435" s="17">
        <v>2.66</v>
      </c>
      <c r="H435" s="15" t="str">
        <f>_xlfn.DISPIMG("ID_2E8571F2ED204C368A0D541B37076953",1)</f>
        <v>=DISPIMG("ID_2E8571F2ED204C368A0D541B37076953",1)</v>
      </c>
    </row>
    <row r="436" s="2" customFormat="1" customHeight="1" spans="1:8">
      <c r="A436" s="13">
        <v>435</v>
      </c>
      <c r="B436" s="15" t="s">
        <v>830</v>
      </c>
      <c r="C436" s="15" t="s">
        <v>560</v>
      </c>
      <c r="D436" s="16" t="s">
        <v>836</v>
      </c>
      <c r="E436" s="15"/>
      <c r="F436" s="16" t="s">
        <v>837</v>
      </c>
      <c r="G436" s="17">
        <v>6.99</v>
      </c>
      <c r="H436" s="15" t="str">
        <f>_xlfn.DISPIMG("ID_CF40351D5B144341892F70E8D2217C17",1)</f>
        <v>=DISPIMG("ID_CF40351D5B144341892F70E8D2217C17",1)</v>
      </c>
    </row>
    <row r="437" s="2" customFormat="1" customHeight="1" spans="1:8">
      <c r="A437" s="13">
        <v>436</v>
      </c>
      <c r="B437" s="15" t="s">
        <v>830</v>
      </c>
      <c r="C437" s="15" t="s">
        <v>560</v>
      </c>
      <c r="D437" s="16" t="s">
        <v>838</v>
      </c>
      <c r="E437" s="15"/>
      <c r="F437" s="16" t="s">
        <v>839</v>
      </c>
      <c r="G437" s="17">
        <v>4.93</v>
      </c>
      <c r="H437" s="15" t="str">
        <f>_xlfn.DISPIMG("ID_E52313DE43DC472B8B1706D13FDDA6B8",1)</f>
        <v>=DISPIMG("ID_E52313DE43DC472B8B1706D13FDDA6B8",1)</v>
      </c>
    </row>
    <row r="438" s="2" customFormat="1" customHeight="1" spans="1:8">
      <c r="A438" s="13">
        <v>437</v>
      </c>
      <c r="B438" s="15" t="s">
        <v>830</v>
      </c>
      <c r="C438" s="15" t="s">
        <v>560</v>
      </c>
      <c r="D438" s="16" t="s">
        <v>840</v>
      </c>
      <c r="E438" s="15"/>
      <c r="F438" s="16" t="s">
        <v>841</v>
      </c>
      <c r="G438" s="17">
        <v>13.9</v>
      </c>
      <c r="H438" s="15" t="str">
        <f>_xlfn.DISPIMG("ID_32556BC419AC4357B28299FCEC672307",1)</f>
        <v>=DISPIMG("ID_32556BC419AC4357B28299FCEC672307",1)</v>
      </c>
    </row>
    <row r="439" s="2" customFormat="1" customHeight="1" spans="1:8">
      <c r="A439" s="13">
        <v>438</v>
      </c>
      <c r="B439" s="15" t="s">
        <v>830</v>
      </c>
      <c r="C439" s="15" t="s">
        <v>560</v>
      </c>
      <c r="D439" s="16" t="s">
        <v>842</v>
      </c>
      <c r="E439" s="15"/>
      <c r="F439" s="16" t="s">
        <v>843</v>
      </c>
      <c r="G439" s="17">
        <v>10.39</v>
      </c>
      <c r="H439" s="15" t="str">
        <f>_xlfn.DISPIMG("ID_30774673DFC34966B02E1F7D39D035B1",1)</f>
        <v>=DISPIMG("ID_30774673DFC34966B02E1F7D39D035B1",1)</v>
      </c>
    </row>
    <row r="440" s="2" customFormat="1" customHeight="1" spans="1:8">
      <c r="A440" s="13">
        <v>439</v>
      </c>
      <c r="B440" s="15" t="s">
        <v>830</v>
      </c>
      <c r="C440" s="15" t="s">
        <v>844</v>
      </c>
      <c r="D440" s="16" t="s">
        <v>844</v>
      </c>
      <c r="E440" s="15"/>
      <c r="F440" s="16" t="s">
        <v>845</v>
      </c>
      <c r="G440" s="17">
        <v>2.2</v>
      </c>
      <c r="H440" s="15" t="str">
        <f>_xlfn.DISPIMG("ID_72968DABE0384645B2A6CF761A55E486",1)</f>
        <v>=DISPIMG("ID_72968DABE0384645B2A6CF761A55E486",1)</v>
      </c>
    </row>
    <row r="441" s="2" customFormat="1" customHeight="1" spans="1:8">
      <c r="A441" s="13">
        <v>440</v>
      </c>
      <c r="B441" s="15" t="s">
        <v>846</v>
      </c>
      <c r="C441" s="15" t="s">
        <v>847</v>
      </c>
      <c r="D441" s="16" t="s">
        <v>848</v>
      </c>
      <c r="E441" s="15"/>
      <c r="F441" s="16" t="s">
        <v>849</v>
      </c>
      <c r="G441" s="17">
        <v>3.26666666666667</v>
      </c>
      <c r="H441" s="15" t="str">
        <f>_xlfn.DISPIMG("ID_C2F0B1E26BD5417D9E53061429EFDF54",1)</f>
        <v>=DISPIMG("ID_C2F0B1E26BD5417D9E53061429EFDF54",1)</v>
      </c>
    </row>
    <row r="442" s="2" customFormat="1" customHeight="1" spans="1:8">
      <c r="A442" s="13">
        <v>441</v>
      </c>
      <c r="B442" s="15" t="s">
        <v>846</v>
      </c>
      <c r="C442" s="15" t="s">
        <v>847</v>
      </c>
      <c r="D442" s="16" t="s">
        <v>850</v>
      </c>
      <c r="E442" s="15"/>
      <c r="F442" s="16" t="s">
        <v>851</v>
      </c>
      <c r="G442" s="17">
        <v>3.26666666666667</v>
      </c>
      <c r="H442" s="15" t="str">
        <f>_xlfn.DISPIMG("ID_DFB1C9FE2D6C4347B0020D89E2061584",1)</f>
        <v>=DISPIMG("ID_DFB1C9FE2D6C4347B0020D89E2061584",1)</v>
      </c>
    </row>
    <row r="443" s="2" customFormat="1" customHeight="1" spans="1:8">
      <c r="A443" s="13">
        <v>442</v>
      </c>
      <c r="B443" s="15" t="s">
        <v>846</v>
      </c>
      <c r="C443" s="15" t="s">
        <v>852</v>
      </c>
      <c r="D443" s="15" t="s">
        <v>853</v>
      </c>
      <c r="E443" s="15" t="s">
        <v>854</v>
      </c>
      <c r="F443" s="16" t="s">
        <v>855</v>
      </c>
      <c r="G443" s="17">
        <v>330</v>
      </c>
      <c r="H443" s="15" t="str">
        <f>_xlfn.DISPIMG("ID_D02ADB512D3B4256A92F4C8A5D69298C",1)</f>
        <v>=DISPIMG("ID_D02ADB512D3B4256A92F4C8A5D69298C",1)</v>
      </c>
    </row>
    <row r="444" s="2" customFormat="1" customHeight="1" spans="1:8">
      <c r="A444" s="13">
        <v>443</v>
      </c>
      <c r="B444" s="15" t="s">
        <v>846</v>
      </c>
      <c r="C444" s="15" t="s">
        <v>852</v>
      </c>
      <c r="D444" s="16" t="s">
        <v>856</v>
      </c>
      <c r="E444" s="15" t="s">
        <v>857</v>
      </c>
      <c r="F444" s="16" t="s">
        <v>858</v>
      </c>
      <c r="G444" s="17">
        <v>160</v>
      </c>
      <c r="H444" s="15" t="str">
        <f>_xlfn.DISPIMG("ID_F553CA4FEC9249D8A15780D37F170818",1)</f>
        <v>=DISPIMG("ID_F553CA4FEC9249D8A15780D37F170818",1)</v>
      </c>
    </row>
    <row r="445" s="2" customFormat="1" customHeight="1" spans="1:8">
      <c r="A445" s="13">
        <v>444</v>
      </c>
      <c r="B445" s="15" t="s">
        <v>846</v>
      </c>
      <c r="C445" s="15" t="s">
        <v>859</v>
      </c>
      <c r="D445" s="15" t="s">
        <v>860</v>
      </c>
      <c r="E445" s="15" t="s">
        <v>861</v>
      </c>
      <c r="F445" s="16" t="s">
        <v>862</v>
      </c>
      <c r="G445" s="17">
        <v>120</v>
      </c>
      <c r="H445" s="15" t="str">
        <f>_xlfn.DISPIMG("ID_6E6BB80CE9F345578CE6F9A74D2EEF64",1)</f>
        <v>=DISPIMG("ID_6E6BB80CE9F345578CE6F9A74D2EEF64",1)</v>
      </c>
    </row>
    <row r="446" s="2" customFormat="1" customHeight="1" spans="1:8">
      <c r="A446" s="13">
        <v>445</v>
      </c>
      <c r="B446" s="15" t="s">
        <v>846</v>
      </c>
      <c r="C446" s="15" t="s">
        <v>863</v>
      </c>
      <c r="D446" s="16" t="s">
        <v>864</v>
      </c>
      <c r="E446" s="15"/>
      <c r="F446" s="16" t="s">
        <v>865</v>
      </c>
      <c r="G446" s="17">
        <v>3.66</v>
      </c>
      <c r="H446" s="15" t="str">
        <f>_xlfn.DISPIMG("ID_32F1FA71A5E2435E9CCE5A02BCBED1DA",1)</f>
        <v>=DISPIMG("ID_32F1FA71A5E2435E9CCE5A02BCBED1DA",1)</v>
      </c>
    </row>
    <row r="447" s="2" customFormat="1" customHeight="1" spans="1:8">
      <c r="A447" s="13">
        <v>446</v>
      </c>
      <c r="B447" s="15" t="s">
        <v>846</v>
      </c>
      <c r="C447" s="15" t="s">
        <v>863</v>
      </c>
      <c r="D447" s="16" t="s">
        <v>866</v>
      </c>
      <c r="E447" s="15"/>
      <c r="F447" s="16" t="s">
        <v>867</v>
      </c>
      <c r="G447" s="17">
        <v>4</v>
      </c>
      <c r="H447" s="15" t="str">
        <f>_xlfn.DISPIMG("ID_761703D0C5FC459C9D7B87114D4560F8",1)</f>
        <v>=DISPIMG("ID_761703D0C5FC459C9D7B87114D4560F8",1)</v>
      </c>
    </row>
    <row r="448" s="2" customFormat="1" customHeight="1" spans="1:8">
      <c r="A448" s="13">
        <v>447</v>
      </c>
      <c r="B448" s="15" t="s">
        <v>846</v>
      </c>
      <c r="C448" s="15" t="s">
        <v>863</v>
      </c>
      <c r="D448" s="16" t="s">
        <v>868</v>
      </c>
      <c r="E448" s="15"/>
      <c r="F448" s="16" t="s">
        <v>85</v>
      </c>
      <c r="G448" s="17">
        <v>2.5</v>
      </c>
      <c r="H448" s="15" t="str">
        <f>_xlfn.DISPIMG("ID_D97FD82C939C40FCB8964DDF903FA834",1)</f>
        <v>=DISPIMG("ID_D97FD82C939C40FCB8964DDF903FA834",1)</v>
      </c>
    </row>
    <row r="449" s="2" customFormat="1" customHeight="1" spans="1:8">
      <c r="A449" s="13">
        <v>448</v>
      </c>
      <c r="B449" s="15" t="s">
        <v>846</v>
      </c>
      <c r="C449" s="15" t="s">
        <v>869</v>
      </c>
      <c r="D449" s="16" t="s">
        <v>869</v>
      </c>
      <c r="E449" s="15"/>
      <c r="F449" s="16" t="s">
        <v>870</v>
      </c>
      <c r="G449" s="17">
        <v>4</v>
      </c>
      <c r="H449" s="15" t="str">
        <f>_xlfn.DISPIMG("ID_C661A7D3E89343CEBB79BB8708E9F581",1)</f>
        <v>=DISPIMG("ID_C661A7D3E89343CEBB79BB8708E9F581",1)</v>
      </c>
    </row>
    <row r="450" s="2" customFormat="1" customHeight="1" spans="1:8">
      <c r="A450" s="13">
        <v>449</v>
      </c>
      <c r="B450" s="15" t="s">
        <v>846</v>
      </c>
      <c r="C450" s="15" t="s">
        <v>871</v>
      </c>
      <c r="D450" s="15" t="s">
        <v>872</v>
      </c>
      <c r="E450" s="15"/>
      <c r="F450" s="16" t="s">
        <v>85</v>
      </c>
      <c r="G450" s="17">
        <v>3</v>
      </c>
      <c r="H450" s="15" t="str">
        <f>_xlfn.DISPIMG("ID_525782DAFD8F4B19BEB56027F254C093",1)</f>
        <v>=DISPIMG("ID_525782DAFD8F4B19BEB56027F254C093",1)</v>
      </c>
    </row>
    <row r="451" s="2" customFormat="1" customHeight="1" spans="1:8">
      <c r="A451" s="13">
        <v>450</v>
      </c>
      <c r="B451" s="15" t="s">
        <v>846</v>
      </c>
      <c r="C451" s="15" t="s">
        <v>871</v>
      </c>
      <c r="D451" s="15" t="s">
        <v>871</v>
      </c>
      <c r="E451" s="15"/>
      <c r="F451" s="16" t="s">
        <v>85</v>
      </c>
      <c r="G451" s="17">
        <v>3</v>
      </c>
      <c r="H451" s="15" t="str">
        <f>_xlfn.DISPIMG("ID_EDF7B60053DF4B8FA2876F5D0DCB3FB3",1)</f>
        <v>=DISPIMG("ID_EDF7B60053DF4B8FA2876F5D0DCB3FB3",1)</v>
      </c>
    </row>
    <row r="452" s="2" customFormat="1" customHeight="1" spans="1:8">
      <c r="A452" s="13">
        <v>451</v>
      </c>
      <c r="B452" s="15" t="s">
        <v>846</v>
      </c>
      <c r="C452" s="15" t="s">
        <v>873</v>
      </c>
      <c r="D452" s="16" t="s">
        <v>874</v>
      </c>
      <c r="E452" s="15" t="s">
        <v>875</v>
      </c>
      <c r="F452" s="16" t="s">
        <v>876</v>
      </c>
      <c r="G452" s="17">
        <v>15.9</v>
      </c>
      <c r="H452" s="15" t="str">
        <f>_xlfn.DISPIMG("ID_FAC816EDE3124E01936C62EFE8E6C340",1)</f>
        <v>=DISPIMG("ID_FAC816EDE3124E01936C62EFE8E6C340",1)</v>
      </c>
    </row>
    <row r="453" s="2" customFormat="1" customHeight="1" spans="1:8">
      <c r="A453" s="13">
        <v>452</v>
      </c>
      <c r="B453" s="15" t="s">
        <v>846</v>
      </c>
      <c r="C453" s="15" t="s">
        <v>873</v>
      </c>
      <c r="D453" s="16" t="s">
        <v>877</v>
      </c>
      <c r="E453" s="15" t="s">
        <v>681</v>
      </c>
      <c r="F453" s="16" t="s">
        <v>878</v>
      </c>
      <c r="G453" s="17">
        <v>12.9</v>
      </c>
      <c r="H453" s="15" t="str">
        <f>_xlfn.DISPIMG("ID_378C422D2E9A4189A16E6ABEA755CD3A",1)</f>
        <v>=DISPIMG("ID_378C422D2E9A4189A16E6ABEA755CD3A",1)</v>
      </c>
    </row>
    <row r="454" s="2" customFormat="1" customHeight="1" spans="1:8">
      <c r="A454" s="13">
        <v>453</v>
      </c>
      <c r="B454" s="15" t="s">
        <v>846</v>
      </c>
      <c r="C454" s="15" t="s">
        <v>873</v>
      </c>
      <c r="D454" s="15" t="s">
        <v>879</v>
      </c>
      <c r="E454" s="15"/>
      <c r="F454" s="16" t="s">
        <v>880</v>
      </c>
      <c r="G454" s="17">
        <v>12</v>
      </c>
      <c r="H454" s="15" t="str">
        <f>_xlfn.DISPIMG("ID_73BA7354D886480A85D5EDAAF6D0DB4D",1)</f>
        <v>=DISPIMG("ID_73BA7354D886480A85D5EDAAF6D0DB4D",1)</v>
      </c>
    </row>
    <row r="455" s="2" customFormat="1" customHeight="1" spans="1:8">
      <c r="A455" s="13">
        <v>454</v>
      </c>
      <c r="B455" s="15" t="s">
        <v>846</v>
      </c>
      <c r="C455" s="15" t="s">
        <v>873</v>
      </c>
      <c r="D455" s="16" t="s">
        <v>881</v>
      </c>
      <c r="E455" s="15"/>
      <c r="F455" s="16" t="s">
        <v>882</v>
      </c>
      <c r="G455" s="17">
        <v>3.26666666666667</v>
      </c>
      <c r="H455" s="15" t="str">
        <f>_xlfn.DISPIMG("ID_334200BF7022463C8C4D40D881E254CF",1)</f>
        <v>=DISPIMG("ID_334200BF7022463C8C4D40D881E254CF",1)</v>
      </c>
    </row>
    <row r="456" s="5" customFormat="1" customHeight="1" spans="1:8">
      <c r="A456" s="13">
        <v>455</v>
      </c>
      <c r="B456" s="26" t="s">
        <v>846</v>
      </c>
      <c r="C456" s="26" t="s">
        <v>873</v>
      </c>
      <c r="D456" s="26" t="s">
        <v>883</v>
      </c>
      <c r="E456" s="26" t="s">
        <v>884</v>
      </c>
      <c r="F456" s="27" t="s">
        <v>885</v>
      </c>
      <c r="G456" s="28">
        <v>9.9</v>
      </c>
      <c r="H456" s="26"/>
    </row>
    <row r="457" s="2" customFormat="1" customHeight="1" spans="1:8">
      <c r="A457" s="13">
        <v>456</v>
      </c>
      <c r="B457" s="15" t="s">
        <v>886</v>
      </c>
      <c r="C457" s="15" t="s">
        <v>887</v>
      </c>
      <c r="D457" s="15" t="s">
        <v>888</v>
      </c>
      <c r="E457" s="15"/>
      <c r="F457" s="16" t="s">
        <v>85</v>
      </c>
      <c r="G457" s="17">
        <v>18</v>
      </c>
      <c r="H457" s="15" t="str">
        <f>_xlfn.DISPIMG("ID_E9813E6444B0484EB9908BA254D20A88",1)</f>
        <v>=DISPIMG("ID_E9813E6444B0484EB9908BA254D20A88",1)</v>
      </c>
    </row>
    <row r="458" s="7" customFormat="1" customHeight="1" spans="1:8">
      <c r="A458" s="13">
        <v>457</v>
      </c>
      <c r="B458" s="15" t="s">
        <v>886</v>
      </c>
      <c r="C458" s="15" t="s">
        <v>887</v>
      </c>
      <c r="D458" s="15" t="s">
        <v>889</v>
      </c>
      <c r="E458" s="15" t="s">
        <v>890</v>
      </c>
      <c r="F458" s="16" t="s">
        <v>277</v>
      </c>
      <c r="G458" s="17">
        <v>32.48</v>
      </c>
      <c r="H458" s="15" t="str">
        <f>_xlfn.DISPIMG("ID_7DDE99249A4047688DD3E54684B7378A",1)</f>
        <v>=DISPIMG("ID_7DDE99249A4047688DD3E54684B7378A",1)</v>
      </c>
    </row>
    <row r="459" s="7" customFormat="1" customHeight="1" spans="1:8">
      <c r="A459" s="13">
        <v>458</v>
      </c>
      <c r="B459" s="15" t="s">
        <v>886</v>
      </c>
      <c r="C459" s="15" t="s">
        <v>887</v>
      </c>
      <c r="D459" s="15" t="s">
        <v>891</v>
      </c>
      <c r="E459" s="15" t="s">
        <v>890</v>
      </c>
      <c r="F459" s="16" t="s">
        <v>892</v>
      </c>
      <c r="G459" s="17">
        <v>3.2</v>
      </c>
      <c r="H459" s="15" t="str">
        <f>_xlfn.DISPIMG("ID_0891D7C223D34B39B1B448BE4D2CD094",1)</f>
        <v>=DISPIMG("ID_0891D7C223D34B39B1B448BE4D2CD094",1)</v>
      </c>
    </row>
    <row r="460" s="7" customFormat="1" customHeight="1" spans="1:8">
      <c r="A460" s="13">
        <v>459</v>
      </c>
      <c r="B460" s="15" t="s">
        <v>886</v>
      </c>
      <c r="C460" s="15" t="s">
        <v>887</v>
      </c>
      <c r="D460" s="15" t="s">
        <v>893</v>
      </c>
      <c r="E460" s="15" t="s">
        <v>890</v>
      </c>
      <c r="F460" s="16" t="s">
        <v>894</v>
      </c>
      <c r="G460" s="17">
        <v>29.9</v>
      </c>
      <c r="H460" s="15" t="str">
        <f>_xlfn.DISPIMG("ID_DDF7C4C5C198476DAEF0378CD9D96BF7",1)</f>
        <v>=DISPIMG("ID_DDF7C4C5C198476DAEF0378CD9D96BF7",1)</v>
      </c>
    </row>
    <row r="461" s="7" customFormat="1" customHeight="1" spans="1:8">
      <c r="A461" s="13">
        <v>460</v>
      </c>
      <c r="B461" s="15" t="s">
        <v>886</v>
      </c>
      <c r="C461" s="15" t="s">
        <v>887</v>
      </c>
      <c r="D461" s="15" t="s">
        <v>895</v>
      </c>
      <c r="E461" s="15" t="s">
        <v>890</v>
      </c>
      <c r="F461" s="16" t="s">
        <v>277</v>
      </c>
      <c r="G461" s="17">
        <v>13.9</v>
      </c>
      <c r="H461" s="15" t="str">
        <f>_xlfn.DISPIMG("ID_BFE65DCC94434A5AB8796A18573812D4",1)</f>
        <v>=DISPIMG("ID_BFE65DCC94434A5AB8796A18573812D4",1)</v>
      </c>
    </row>
    <row r="462" s="7" customFormat="1" customHeight="1" spans="1:8">
      <c r="A462" s="13">
        <v>461</v>
      </c>
      <c r="B462" s="15" t="s">
        <v>886</v>
      </c>
      <c r="C462" s="15" t="s">
        <v>887</v>
      </c>
      <c r="D462" s="15" t="s">
        <v>896</v>
      </c>
      <c r="E462" s="15" t="s">
        <v>890</v>
      </c>
      <c r="F462" s="16" t="s">
        <v>897</v>
      </c>
      <c r="G462" s="17">
        <v>27.4</v>
      </c>
      <c r="H462" s="15" t="str">
        <f>_xlfn.DISPIMG("ID_A7A7FA63DBA14081AAA68225D30521C6",1)</f>
        <v>=DISPIMG("ID_A7A7FA63DBA14081AAA68225D30521C6",1)</v>
      </c>
    </row>
    <row r="463" s="7" customFormat="1" customHeight="1" spans="1:8">
      <c r="A463" s="13">
        <v>462</v>
      </c>
      <c r="B463" s="15" t="s">
        <v>886</v>
      </c>
      <c r="C463" s="15" t="s">
        <v>887</v>
      </c>
      <c r="D463" s="15" t="s">
        <v>898</v>
      </c>
      <c r="E463" s="15" t="s">
        <v>890</v>
      </c>
      <c r="F463" s="16" t="s">
        <v>533</v>
      </c>
      <c r="G463" s="17">
        <v>24</v>
      </c>
      <c r="H463" s="15" t="str">
        <f>_xlfn.DISPIMG("ID_0CA67BE35A194BE087C0560A53B411E9",1)</f>
        <v>=DISPIMG("ID_0CA67BE35A194BE087C0560A53B411E9",1)</v>
      </c>
    </row>
    <row r="464" s="7" customFormat="1" customHeight="1" spans="1:8">
      <c r="A464" s="13">
        <v>463</v>
      </c>
      <c r="B464" s="15" t="s">
        <v>886</v>
      </c>
      <c r="C464" s="15" t="s">
        <v>887</v>
      </c>
      <c r="D464" s="15" t="s">
        <v>899</v>
      </c>
      <c r="E464" s="15" t="s">
        <v>890</v>
      </c>
      <c r="F464" s="16" t="s">
        <v>900</v>
      </c>
      <c r="G464" s="17">
        <v>6.9</v>
      </c>
      <c r="H464" s="15" t="str">
        <f>_xlfn.DISPIMG("ID_5C08EA0923554F2898FB836CC3903E7D",1)</f>
        <v>=DISPIMG("ID_5C08EA0923554F2898FB836CC3903E7D",1)</v>
      </c>
    </row>
    <row r="465" s="7" customFormat="1" customHeight="1" spans="1:8">
      <c r="A465" s="13">
        <v>464</v>
      </c>
      <c r="B465" s="15" t="s">
        <v>886</v>
      </c>
      <c r="C465" s="15" t="s">
        <v>887</v>
      </c>
      <c r="D465" s="15" t="s">
        <v>901</v>
      </c>
      <c r="E465" s="15" t="s">
        <v>890</v>
      </c>
      <c r="F465" s="16" t="s">
        <v>902</v>
      </c>
      <c r="G465" s="17">
        <v>27.9</v>
      </c>
      <c r="H465" s="15" t="str">
        <f>_xlfn.DISPIMG("ID_0260DA17E63D4999B42A8BEACAF0EF4E",1)</f>
        <v>=DISPIMG("ID_0260DA17E63D4999B42A8BEACAF0EF4E",1)</v>
      </c>
    </row>
    <row r="466" s="7" customFormat="1" customHeight="1" spans="1:8">
      <c r="A466" s="13">
        <v>465</v>
      </c>
      <c r="B466" s="15" t="s">
        <v>886</v>
      </c>
      <c r="C466" s="15" t="s">
        <v>887</v>
      </c>
      <c r="D466" s="15" t="s">
        <v>903</v>
      </c>
      <c r="E466" s="15" t="s">
        <v>890</v>
      </c>
      <c r="F466" s="16" t="s">
        <v>894</v>
      </c>
      <c r="G466" s="17">
        <v>32.9</v>
      </c>
      <c r="H466" s="15" t="str">
        <f>_xlfn.DISPIMG("ID_EF46C9D5AA6247CAA07AC85494E49B71",1)</f>
        <v>=DISPIMG("ID_EF46C9D5AA6247CAA07AC85494E49B71",1)</v>
      </c>
    </row>
    <row r="467" s="7" customFormat="1" customHeight="1" spans="1:8">
      <c r="A467" s="13">
        <v>466</v>
      </c>
      <c r="B467" s="15" t="s">
        <v>886</v>
      </c>
      <c r="C467" s="15" t="s">
        <v>887</v>
      </c>
      <c r="D467" s="16" t="s">
        <v>904</v>
      </c>
      <c r="E467" s="15" t="s">
        <v>890</v>
      </c>
      <c r="F467" s="16" t="s">
        <v>894</v>
      </c>
      <c r="G467" s="17">
        <v>18.7</v>
      </c>
      <c r="H467" s="15" t="str">
        <f>_xlfn.DISPIMG("ID_AA0E8496AB184A17AD633E359CF0FF9A",1)</f>
        <v>=DISPIMG("ID_AA0E8496AB184A17AD633E359CF0FF9A",1)</v>
      </c>
    </row>
    <row r="468" s="7" customFormat="1" customHeight="1" spans="1:8">
      <c r="A468" s="13">
        <v>467</v>
      </c>
      <c r="B468" s="15" t="s">
        <v>886</v>
      </c>
      <c r="C468" s="15" t="s">
        <v>887</v>
      </c>
      <c r="D468" s="16" t="s">
        <v>905</v>
      </c>
      <c r="E468" s="15" t="s">
        <v>890</v>
      </c>
      <c r="F468" s="16" t="s">
        <v>894</v>
      </c>
      <c r="G468" s="17">
        <v>46.41</v>
      </c>
      <c r="H468" s="15" t="str">
        <f>_xlfn.DISPIMG("ID_6A24FA6E83A94CC394C9735B88628100",1)</f>
        <v>=DISPIMG("ID_6A24FA6E83A94CC394C9735B88628100",1)</v>
      </c>
    </row>
    <row r="469" s="2" customFormat="1" customHeight="1" spans="1:8">
      <c r="A469" s="13">
        <v>468</v>
      </c>
      <c r="B469" s="15" t="s">
        <v>886</v>
      </c>
      <c r="C469" s="15" t="s">
        <v>887</v>
      </c>
      <c r="D469" s="18" t="s">
        <v>906</v>
      </c>
      <c r="E469" s="18" t="s">
        <v>907</v>
      </c>
      <c r="F469" s="18" t="s">
        <v>908</v>
      </c>
      <c r="G469" s="25">
        <v>24.89</v>
      </c>
      <c r="H469" s="18" t="str">
        <f>_xlfn.DISPIMG("ID_A2C570E5376042E7BA9A854B0ABDAE15",1)</f>
        <v>=DISPIMG("ID_A2C570E5376042E7BA9A854B0ABDAE15",1)</v>
      </c>
    </row>
    <row r="470" s="2" customFormat="1" customHeight="1" spans="1:8">
      <c r="A470" s="13">
        <v>469</v>
      </c>
      <c r="B470" s="15" t="s">
        <v>886</v>
      </c>
      <c r="C470" s="15" t="s">
        <v>887</v>
      </c>
      <c r="D470" s="16" t="s">
        <v>909</v>
      </c>
      <c r="E470" s="15" t="s">
        <v>910</v>
      </c>
      <c r="F470" s="16" t="s">
        <v>911</v>
      </c>
      <c r="G470" s="17">
        <v>75.5</v>
      </c>
      <c r="H470" s="15" t="str">
        <f>_xlfn.DISPIMG("ID_D64D68FEDECB4770943C41E6B522C4A7",1)</f>
        <v>=DISPIMG("ID_D64D68FEDECB4770943C41E6B522C4A7",1)</v>
      </c>
    </row>
    <row r="471" s="2" customFormat="1" customHeight="1" spans="1:8">
      <c r="A471" s="13">
        <v>470</v>
      </c>
      <c r="B471" s="15" t="s">
        <v>886</v>
      </c>
      <c r="C471" s="15" t="s">
        <v>887</v>
      </c>
      <c r="D471" s="14" t="s">
        <v>912</v>
      </c>
      <c r="E471" s="14"/>
      <c r="F471" s="16" t="s">
        <v>85</v>
      </c>
      <c r="G471" s="31">
        <v>17.8</v>
      </c>
      <c r="H471" s="32" t="str">
        <f>_xlfn.DISPIMG("ID_937ED91DBFF4465CA4E313FA8C0C3D66",1)</f>
        <v>=DISPIMG("ID_937ED91DBFF4465CA4E313FA8C0C3D66",1)</v>
      </c>
    </row>
    <row r="472" s="2" customFormat="1" customHeight="1" spans="1:8">
      <c r="A472" s="13">
        <v>471</v>
      </c>
      <c r="B472" s="15" t="s">
        <v>886</v>
      </c>
      <c r="C472" s="15" t="s">
        <v>887</v>
      </c>
      <c r="D472" s="16" t="s">
        <v>913</v>
      </c>
      <c r="E472" s="16" t="s">
        <v>914</v>
      </c>
      <c r="F472" s="16" t="s">
        <v>911</v>
      </c>
      <c r="G472" s="31">
        <v>94</v>
      </c>
      <c r="H472" s="32" t="str">
        <f>_xlfn.DISPIMG("ID_54CB7B7CDDF9405F82703A8FD2EED04D",1)</f>
        <v>=DISPIMG("ID_54CB7B7CDDF9405F82703A8FD2EED04D",1)</v>
      </c>
    </row>
    <row r="473" s="2" customFormat="1" customHeight="1" spans="1:8">
      <c r="A473" s="13">
        <v>472</v>
      </c>
      <c r="B473" s="15" t="s">
        <v>886</v>
      </c>
      <c r="C473" s="15" t="s">
        <v>887</v>
      </c>
      <c r="D473" s="15" t="s">
        <v>915</v>
      </c>
      <c r="E473" s="15"/>
      <c r="F473" s="16" t="s">
        <v>85</v>
      </c>
      <c r="G473" s="31">
        <v>40</v>
      </c>
      <c r="H473" s="32" t="str">
        <f>_xlfn.DISPIMG("ID_C56DD419CC774EFEB7C49567F2946E97",1)</f>
        <v>=DISPIMG("ID_C56DD419CC774EFEB7C49567F2946E97",1)</v>
      </c>
    </row>
    <row r="474" s="2" customFormat="1" customHeight="1" spans="1:8">
      <c r="A474" s="13">
        <v>473</v>
      </c>
      <c r="B474" s="15" t="s">
        <v>886</v>
      </c>
      <c r="C474" s="15" t="s">
        <v>887</v>
      </c>
      <c r="D474" s="15" t="s">
        <v>916</v>
      </c>
      <c r="E474" s="15"/>
      <c r="F474" s="16" t="s">
        <v>85</v>
      </c>
      <c r="G474" s="31">
        <v>59.9</v>
      </c>
      <c r="H474" s="32" t="str">
        <f>_xlfn.DISPIMG("ID_F2D4665C2F3344B1A5669DB2EBF0BDEF",1)</f>
        <v>=DISPIMG("ID_F2D4665C2F3344B1A5669DB2EBF0BDEF",1)</v>
      </c>
    </row>
    <row r="475" s="2" customFormat="1" customHeight="1" spans="1:8">
      <c r="A475" s="13">
        <v>474</v>
      </c>
      <c r="B475" s="15" t="s">
        <v>886</v>
      </c>
      <c r="C475" s="15" t="s">
        <v>887</v>
      </c>
      <c r="D475" s="18" t="s">
        <v>917</v>
      </c>
      <c r="E475" s="18"/>
      <c r="F475" s="16" t="s">
        <v>85</v>
      </c>
      <c r="G475" s="31">
        <v>45.8</v>
      </c>
      <c r="H475" s="32" t="str">
        <f>_xlfn.DISPIMG("ID_CC28358AEAD04505B8F62634932167EB",1)</f>
        <v>=DISPIMG("ID_CC28358AEAD04505B8F62634932167EB",1)</v>
      </c>
    </row>
    <row r="476" s="2" customFormat="1" customHeight="1" spans="1:8">
      <c r="A476" s="13">
        <v>475</v>
      </c>
      <c r="B476" s="15" t="s">
        <v>886</v>
      </c>
      <c r="C476" s="15" t="s">
        <v>887</v>
      </c>
      <c r="D476" s="18" t="s">
        <v>918</v>
      </c>
      <c r="E476" s="18"/>
      <c r="F476" s="16" t="s">
        <v>85</v>
      </c>
      <c r="G476" s="31">
        <v>39.8</v>
      </c>
      <c r="H476" s="32" t="str">
        <f>_xlfn.DISPIMG("ID_BCE5994CB0BD487DB577CFF796C7F2C4",1)</f>
        <v>=DISPIMG("ID_BCE5994CB0BD487DB577CFF796C7F2C4",1)</v>
      </c>
    </row>
    <row r="477" s="2" customFormat="1" customHeight="1" spans="1:8">
      <c r="A477" s="13">
        <v>476</v>
      </c>
      <c r="B477" s="15" t="s">
        <v>886</v>
      </c>
      <c r="C477" s="15" t="s">
        <v>887</v>
      </c>
      <c r="D477" s="15" t="s">
        <v>919</v>
      </c>
      <c r="E477" s="15"/>
      <c r="F477" s="16" t="s">
        <v>85</v>
      </c>
      <c r="G477" s="31">
        <v>40</v>
      </c>
      <c r="H477" s="32" t="str">
        <f>_xlfn.DISPIMG("ID_E0CC724393F44ED399F6D73121EBAAC6",1)</f>
        <v>=DISPIMG("ID_E0CC724393F44ED399F6D73121EBAAC6",1)</v>
      </c>
    </row>
    <row r="478" s="5" customFormat="1" customHeight="1" spans="1:8">
      <c r="A478" s="13">
        <v>477</v>
      </c>
      <c r="B478" s="41" t="s">
        <v>886</v>
      </c>
      <c r="C478" s="41" t="s">
        <v>887</v>
      </c>
      <c r="D478" s="41" t="s">
        <v>920</v>
      </c>
      <c r="E478" s="41"/>
      <c r="F478" s="41" t="s">
        <v>85</v>
      </c>
      <c r="G478" s="28">
        <v>46</v>
      </c>
      <c r="H478" s="26"/>
    </row>
    <row r="479" s="5" customFormat="1" customHeight="1" spans="1:8">
      <c r="A479" s="13">
        <v>478</v>
      </c>
      <c r="B479" s="41" t="s">
        <v>886</v>
      </c>
      <c r="C479" s="41" t="s">
        <v>887</v>
      </c>
      <c r="D479" s="41" t="s">
        <v>921</v>
      </c>
      <c r="E479" s="41"/>
      <c r="F479" s="41" t="s">
        <v>85</v>
      </c>
      <c r="G479" s="28">
        <v>12.6</v>
      </c>
      <c r="H479" s="26"/>
    </row>
    <row r="480" s="5" customFormat="1" customHeight="1" spans="1:8">
      <c r="A480" s="13">
        <v>479</v>
      </c>
      <c r="B480" s="41" t="s">
        <v>886</v>
      </c>
      <c r="C480" s="41" t="s">
        <v>887</v>
      </c>
      <c r="D480" s="41" t="s">
        <v>922</v>
      </c>
      <c r="E480" s="41"/>
      <c r="F480" s="41" t="s">
        <v>85</v>
      </c>
      <c r="G480" s="28">
        <v>16</v>
      </c>
      <c r="H480" s="26"/>
    </row>
    <row r="481" s="5" customFormat="1" customHeight="1" spans="1:8">
      <c r="A481" s="13">
        <v>480</v>
      </c>
      <c r="B481" s="41" t="s">
        <v>886</v>
      </c>
      <c r="C481" s="41" t="s">
        <v>887</v>
      </c>
      <c r="D481" s="41" t="s">
        <v>923</v>
      </c>
      <c r="E481" s="41"/>
      <c r="F481" s="41" t="s">
        <v>85</v>
      </c>
      <c r="G481" s="28">
        <v>27.5</v>
      </c>
      <c r="H481" s="26"/>
    </row>
    <row r="482" s="5" customFormat="1" customHeight="1" spans="1:8">
      <c r="A482" s="13">
        <v>481</v>
      </c>
      <c r="B482" s="42" t="s">
        <v>886</v>
      </c>
      <c r="C482" s="42" t="s">
        <v>924</v>
      </c>
      <c r="D482" s="42" t="s">
        <v>925</v>
      </c>
      <c r="E482" s="42" t="s">
        <v>926</v>
      </c>
      <c r="F482" s="42" t="s">
        <v>927</v>
      </c>
      <c r="G482" s="28">
        <v>1.5</v>
      </c>
      <c r="H482" s="26"/>
    </row>
    <row r="483" s="5" customFormat="1" customHeight="1" spans="1:8">
      <c r="A483" s="13">
        <v>482</v>
      </c>
      <c r="B483" s="42" t="s">
        <v>886</v>
      </c>
      <c r="C483" s="42" t="s">
        <v>924</v>
      </c>
      <c r="D483" s="42" t="s">
        <v>928</v>
      </c>
      <c r="E483" s="42" t="s">
        <v>926</v>
      </c>
      <c r="F483" s="42" t="s">
        <v>929</v>
      </c>
      <c r="G483" s="28">
        <v>10</v>
      </c>
      <c r="H483" s="26"/>
    </row>
    <row r="484" s="5" customFormat="1" customHeight="1" spans="1:8">
      <c r="A484" s="13">
        <v>483</v>
      </c>
      <c r="B484" s="42" t="s">
        <v>886</v>
      </c>
      <c r="C484" s="42" t="s">
        <v>924</v>
      </c>
      <c r="D484" s="42" t="s">
        <v>930</v>
      </c>
      <c r="E484" s="42" t="s">
        <v>926</v>
      </c>
      <c r="F484" s="42" t="s">
        <v>931</v>
      </c>
      <c r="G484" s="28">
        <v>8</v>
      </c>
      <c r="H484" s="26"/>
    </row>
    <row r="485" s="5" customFormat="1" customHeight="1" spans="1:8">
      <c r="A485" s="13">
        <v>484</v>
      </c>
      <c r="B485" s="42" t="s">
        <v>886</v>
      </c>
      <c r="C485" s="42" t="s">
        <v>924</v>
      </c>
      <c r="D485" s="42" t="s">
        <v>932</v>
      </c>
      <c r="E485" s="42" t="s">
        <v>926</v>
      </c>
      <c r="F485" s="42" t="s">
        <v>933</v>
      </c>
      <c r="G485" s="28">
        <v>15</v>
      </c>
      <c r="H485" s="26"/>
    </row>
    <row r="486" s="5" customFormat="1" customHeight="1" spans="1:8">
      <c r="A486" s="13">
        <v>485</v>
      </c>
      <c r="B486" s="42" t="s">
        <v>886</v>
      </c>
      <c r="C486" s="42" t="s">
        <v>924</v>
      </c>
      <c r="D486" s="42" t="s">
        <v>934</v>
      </c>
      <c r="E486" s="42" t="s">
        <v>926</v>
      </c>
      <c r="F486" s="42" t="s">
        <v>935</v>
      </c>
      <c r="G486" s="28">
        <v>15</v>
      </c>
      <c r="H486" s="26"/>
    </row>
    <row r="487" s="5" customFormat="1" customHeight="1" spans="1:8">
      <c r="A487" s="13">
        <v>486</v>
      </c>
      <c r="B487" s="42" t="s">
        <v>886</v>
      </c>
      <c r="C487" s="42" t="s">
        <v>924</v>
      </c>
      <c r="D487" s="42" t="s">
        <v>936</v>
      </c>
      <c r="E487" s="42" t="s">
        <v>926</v>
      </c>
      <c r="F487" s="42" t="s">
        <v>935</v>
      </c>
      <c r="G487" s="28">
        <v>15</v>
      </c>
      <c r="H487" s="26"/>
    </row>
    <row r="488" s="5" customFormat="1" customHeight="1" spans="1:8">
      <c r="A488" s="13">
        <v>487</v>
      </c>
      <c r="B488" s="42" t="s">
        <v>886</v>
      </c>
      <c r="C488" s="42" t="s">
        <v>924</v>
      </c>
      <c r="D488" s="42" t="s">
        <v>937</v>
      </c>
      <c r="E488" s="42" t="s">
        <v>926</v>
      </c>
      <c r="F488" s="42" t="s">
        <v>938</v>
      </c>
      <c r="G488" s="28">
        <v>12</v>
      </c>
      <c r="H488" s="26"/>
    </row>
    <row r="489" s="5" customFormat="1" customHeight="1" spans="1:8">
      <c r="A489" s="13">
        <v>488</v>
      </c>
      <c r="B489" s="42" t="s">
        <v>886</v>
      </c>
      <c r="C489" s="42" t="s">
        <v>924</v>
      </c>
      <c r="D489" s="42" t="s">
        <v>939</v>
      </c>
      <c r="E489" s="42" t="s">
        <v>926</v>
      </c>
      <c r="F489" s="42" t="s">
        <v>348</v>
      </c>
      <c r="G489" s="28">
        <v>6</v>
      </c>
      <c r="H489" s="26"/>
    </row>
    <row r="490" s="5" customFormat="1" customHeight="1" spans="1:8">
      <c r="A490" s="13">
        <v>489</v>
      </c>
      <c r="B490" s="42" t="s">
        <v>886</v>
      </c>
      <c r="C490" s="42" t="s">
        <v>924</v>
      </c>
      <c r="D490" s="42" t="s">
        <v>940</v>
      </c>
      <c r="E490" s="42" t="s">
        <v>926</v>
      </c>
      <c r="F490" s="42" t="s">
        <v>941</v>
      </c>
      <c r="G490" s="28">
        <v>4</v>
      </c>
      <c r="H490" s="26"/>
    </row>
    <row r="491" s="5" customFormat="1" customHeight="1" spans="1:8">
      <c r="A491" s="13">
        <v>490</v>
      </c>
      <c r="B491" s="42" t="s">
        <v>886</v>
      </c>
      <c r="C491" s="42" t="s">
        <v>924</v>
      </c>
      <c r="D491" s="42" t="s">
        <v>942</v>
      </c>
      <c r="E491" s="42" t="s">
        <v>926</v>
      </c>
      <c r="F491" s="42" t="s">
        <v>484</v>
      </c>
      <c r="G491" s="28">
        <v>4.5</v>
      </c>
      <c r="H491" s="26"/>
    </row>
    <row r="492" s="5" customFormat="1" customHeight="1" spans="1:8">
      <c r="A492" s="13">
        <v>491</v>
      </c>
      <c r="B492" s="42" t="s">
        <v>886</v>
      </c>
      <c r="C492" s="42" t="s">
        <v>924</v>
      </c>
      <c r="D492" s="42" t="s">
        <v>943</v>
      </c>
      <c r="E492" s="42" t="s">
        <v>926</v>
      </c>
      <c r="F492" s="42" t="s">
        <v>944</v>
      </c>
      <c r="G492" s="28">
        <v>6</v>
      </c>
      <c r="H492" s="26"/>
    </row>
    <row r="493" s="5" customFormat="1" customHeight="1" spans="1:8">
      <c r="A493" s="13">
        <v>492</v>
      </c>
      <c r="B493" s="26" t="s">
        <v>886</v>
      </c>
      <c r="C493" s="26" t="s">
        <v>945</v>
      </c>
      <c r="D493" s="27" t="s">
        <v>946</v>
      </c>
      <c r="E493" s="26" t="s">
        <v>926</v>
      </c>
      <c r="F493" s="27" t="s">
        <v>947</v>
      </c>
      <c r="G493" s="28">
        <v>10</v>
      </c>
      <c r="H493" s="26"/>
    </row>
    <row r="494" s="5" customFormat="1" customHeight="1" spans="1:8">
      <c r="A494" s="13">
        <v>493</v>
      </c>
      <c r="B494" s="26" t="s">
        <v>886</v>
      </c>
      <c r="C494" s="26" t="s">
        <v>945</v>
      </c>
      <c r="D494" s="27" t="s">
        <v>948</v>
      </c>
      <c r="E494" s="26" t="s">
        <v>926</v>
      </c>
      <c r="F494" s="27" t="s">
        <v>949</v>
      </c>
      <c r="G494" s="28">
        <v>9</v>
      </c>
      <c r="H494" s="26"/>
    </row>
    <row r="495" s="5" customFormat="1" customHeight="1" spans="1:8">
      <c r="A495" s="13">
        <v>494</v>
      </c>
      <c r="B495" s="26" t="s">
        <v>886</v>
      </c>
      <c r="C495" s="26" t="s">
        <v>945</v>
      </c>
      <c r="D495" s="27" t="s">
        <v>950</v>
      </c>
      <c r="E495" s="26" t="s">
        <v>926</v>
      </c>
      <c r="F495" s="27" t="s">
        <v>951</v>
      </c>
      <c r="G495" s="28">
        <v>8.8</v>
      </c>
      <c r="H495" s="26"/>
    </row>
    <row r="496" s="5" customFormat="1" customHeight="1" spans="1:8">
      <c r="A496" s="13">
        <v>495</v>
      </c>
      <c r="B496" s="26" t="s">
        <v>886</v>
      </c>
      <c r="C496" s="26" t="s">
        <v>945</v>
      </c>
      <c r="D496" s="27" t="s">
        <v>952</v>
      </c>
      <c r="E496" s="26" t="s">
        <v>926</v>
      </c>
      <c r="F496" s="27" t="s">
        <v>953</v>
      </c>
      <c r="G496" s="28">
        <v>8</v>
      </c>
      <c r="H496" s="26"/>
    </row>
    <row r="497" s="5" customFormat="1" customHeight="1" spans="1:8">
      <c r="A497" s="13">
        <v>496</v>
      </c>
      <c r="B497" s="26" t="s">
        <v>886</v>
      </c>
      <c r="C497" s="26" t="s">
        <v>945</v>
      </c>
      <c r="D497" s="27" t="s">
        <v>954</v>
      </c>
      <c r="E497" s="26" t="s">
        <v>926</v>
      </c>
      <c r="F497" s="27" t="s">
        <v>955</v>
      </c>
      <c r="G497" s="28">
        <v>5</v>
      </c>
      <c r="H497" s="26"/>
    </row>
    <row r="498" s="5" customFormat="1" customHeight="1" spans="1:8">
      <c r="A498" s="13">
        <v>497</v>
      </c>
      <c r="B498" s="26" t="s">
        <v>886</v>
      </c>
      <c r="C498" s="26" t="s">
        <v>945</v>
      </c>
      <c r="D498" s="27" t="s">
        <v>956</v>
      </c>
      <c r="E498" s="26" t="s">
        <v>926</v>
      </c>
      <c r="F498" s="27" t="s">
        <v>927</v>
      </c>
      <c r="G498" s="28">
        <v>3.5</v>
      </c>
      <c r="H498" s="26"/>
    </row>
    <row r="499" s="5" customFormat="1" customHeight="1" spans="1:8">
      <c r="A499" s="13">
        <v>498</v>
      </c>
      <c r="B499" s="26" t="s">
        <v>886</v>
      </c>
      <c r="C499" s="26" t="s">
        <v>945</v>
      </c>
      <c r="D499" s="27" t="s">
        <v>957</v>
      </c>
      <c r="E499" s="26" t="s">
        <v>926</v>
      </c>
      <c r="F499" s="27" t="s">
        <v>958</v>
      </c>
      <c r="G499" s="28">
        <v>9</v>
      </c>
      <c r="H499" s="26"/>
    </row>
    <row r="500" s="5" customFormat="1" customHeight="1" spans="1:8">
      <c r="A500" s="13">
        <v>499</v>
      </c>
      <c r="B500" s="26" t="s">
        <v>886</v>
      </c>
      <c r="C500" s="26" t="s">
        <v>945</v>
      </c>
      <c r="D500" s="27" t="s">
        <v>959</v>
      </c>
      <c r="E500" s="26" t="s">
        <v>926</v>
      </c>
      <c r="F500" s="27" t="s">
        <v>902</v>
      </c>
      <c r="G500" s="28">
        <v>8.8</v>
      </c>
      <c r="H500" s="26"/>
    </row>
    <row r="501" s="5" customFormat="1" customHeight="1" spans="1:8">
      <c r="A501" s="13">
        <v>500</v>
      </c>
      <c r="B501" s="26" t="s">
        <v>886</v>
      </c>
      <c r="C501" s="26" t="s">
        <v>945</v>
      </c>
      <c r="D501" s="27" t="s">
        <v>960</v>
      </c>
      <c r="E501" s="26" t="s">
        <v>926</v>
      </c>
      <c r="F501" s="27" t="s">
        <v>533</v>
      </c>
      <c r="G501" s="28">
        <v>15</v>
      </c>
      <c r="H501" s="26"/>
    </row>
    <row r="502" s="5" customFormat="1" customHeight="1" spans="1:8">
      <c r="A502" s="13">
        <v>501</v>
      </c>
      <c r="B502" s="26" t="s">
        <v>886</v>
      </c>
      <c r="C502" s="26" t="s">
        <v>945</v>
      </c>
      <c r="D502" s="27" t="s">
        <v>961</v>
      </c>
      <c r="E502" s="26" t="s">
        <v>926</v>
      </c>
      <c r="F502" s="27" t="s">
        <v>962</v>
      </c>
      <c r="G502" s="28">
        <v>11.8</v>
      </c>
      <c r="H502" s="26"/>
    </row>
    <row r="503" s="5" customFormat="1" customHeight="1" spans="1:8">
      <c r="A503" s="13">
        <v>502</v>
      </c>
      <c r="B503" s="26" t="s">
        <v>886</v>
      </c>
      <c r="C503" s="26" t="s">
        <v>945</v>
      </c>
      <c r="D503" s="27" t="s">
        <v>963</v>
      </c>
      <c r="E503" s="26" t="s">
        <v>926</v>
      </c>
      <c r="F503" s="27" t="s">
        <v>962</v>
      </c>
      <c r="G503" s="28">
        <v>11.8</v>
      </c>
      <c r="H503" s="26"/>
    </row>
    <row r="504" s="5" customFormat="1" customHeight="1" spans="1:8">
      <c r="A504" s="13">
        <v>503</v>
      </c>
      <c r="B504" s="26" t="s">
        <v>886</v>
      </c>
      <c r="C504" s="26" t="s">
        <v>945</v>
      </c>
      <c r="D504" s="27" t="s">
        <v>964</v>
      </c>
      <c r="E504" s="26" t="s">
        <v>926</v>
      </c>
      <c r="F504" s="27" t="s">
        <v>941</v>
      </c>
      <c r="G504" s="28">
        <v>4</v>
      </c>
      <c r="H504" s="26"/>
    </row>
    <row r="505" s="5" customFormat="1" customHeight="1" spans="1:8">
      <c r="A505" s="13">
        <v>504</v>
      </c>
      <c r="B505" s="26" t="s">
        <v>886</v>
      </c>
      <c r="C505" s="26" t="s">
        <v>945</v>
      </c>
      <c r="D505" s="27" t="s">
        <v>965</v>
      </c>
      <c r="E505" s="26" t="s">
        <v>926</v>
      </c>
      <c r="F505" s="27" t="s">
        <v>962</v>
      </c>
      <c r="G505" s="28">
        <v>9</v>
      </c>
      <c r="H505" s="26"/>
    </row>
    <row r="506" s="5" customFormat="1" customHeight="1" spans="1:8">
      <c r="A506" s="13">
        <v>505</v>
      </c>
      <c r="B506" s="26" t="s">
        <v>886</v>
      </c>
      <c r="C506" s="26" t="s">
        <v>945</v>
      </c>
      <c r="D506" s="27" t="s">
        <v>966</v>
      </c>
      <c r="E506" s="26" t="s">
        <v>926</v>
      </c>
      <c r="F506" s="27" t="s">
        <v>967</v>
      </c>
      <c r="G506" s="28">
        <v>4.5</v>
      </c>
      <c r="H506" s="26"/>
    </row>
    <row r="507" s="5" customFormat="1" customHeight="1" spans="1:8">
      <c r="A507" s="13">
        <v>506</v>
      </c>
      <c r="B507" s="26" t="s">
        <v>886</v>
      </c>
      <c r="C507" s="26" t="s">
        <v>945</v>
      </c>
      <c r="D507" s="27" t="s">
        <v>968</v>
      </c>
      <c r="E507" s="26" t="s">
        <v>926</v>
      </c>
      <c r="F507" s="27" t="s">
        <v>969</v>
      </c>
      <c r="G507" s="28">
        <v>4.5</v>
      </c>
      <c r="H507" s="26"/>
    </row>
    <row r="508" s="5" customFormat="1" customHeight="1" spans="1:8">
      <c r="A508" s="13">
        <v>507</v>
      </c>
      <c r="B508" s="26" t="s">
        <v>886</v>
      </c>
      <c r="C508" s="26" t="s">
        <v>945</v>
      </c>
      <c r="D508" s="27" t="s">
        <v>970</v>
      </c>
      <c r="E508" s="26" t="s">
        <v>926</v>
      </c>
      <c r="F508" s="27" t="s">
        <v>971</v>
      </c>
      <c r="G508" s="28">
        <v>10</v>
      </c>
      <c r="H508" s="26"/>
    </row>
    <row r="509" s="5" customFormat="1" customHeight="1" spans="1:8">
      <c r="A509" s="13">
        <v>508</v>
      </c>
      <c r="B509" s="26" t="s">
        <v>886</v>
      </c>
      <c r="C509" s="26" t="s">
        <v>945</v>
      </c>
      <c r="D509" s="27" t="s">
        <v>972</v>
      </c>
      <c r="E509" s="26" t="s">
        <v>926</v>
      </c>
      <c r="F509" s="27" t="s">
        <v>484</v>
      </c>
      <c r="G509" s="28">
        <v>5</v>
      </c>
      <c r="H509" s="26"/>
    </row>
    <row r="510" s="5" customFormat="1" customHeight="1" spans="1:8">
      <c r="A510" s="13">
        <v>509</v>
      </c>
      <c r="B510" s="26" t="s">
        <v>886</v>
      </c>
      <c r="C510" s="26" t="s">
        <v>945</v>
      </c>
      <c r="D510" s="27" t="s">
        <v>973</v>
      </c>
      <c r="E510" s="26" t="s">
        <v>926</v>
      </c>
      <c r="F510" s="27" t="s">
        <v>947</v>
      </c>
      <c r="G510" s="28">
        <v>5</v>
      </c>
      <c r="H510" s="26"/>
    </row>
    <row r="511" s="5" customFormat="1" customHeight="1" spans="1:8">
      <c r="A511" s="13">
        <v>510</v>
      </c>
      <c r="B511" s="26" t="s">
        <v>886</v>
      </c>
      <c r="C511" s="26" t="s">
        <v>945</v>
      </c>
      <c r="D511" s="27" t="s">
        <v>974</v>
      </c>
      <c r="E511" s="26" t="s">
        <v>926</v>
      </c>
      <c r="F511" s="27" t="s">
        <v>947</v>
      </c>
      <c r="G511" s="28">
        <v>3.5</v>
      </c>
      <c r="H511" s="26"/>
    </row>
    <row r="512" s="5" customFormat="1" customHeight="1" spans="1:8">
      <c r="A512" s="13">
        <v>511</v>
      </c>
      <c r="B512" s="26" t="s">
        <v>886</v>
      </c>
      <c r="C512" s="26" t="s">
        <v>945</v>
      </c>
      <c r="D512" s="27" t="s">
        <v>975</v>
      </c>
      <c r="E512" s="26" t="s">
        <v>926</v>
      </c>
      <c r="F512" s="27" t="s">
        <v>976</v>
      </c>
      <c r="G512" s="28">
        <v>3.5</v>
      </c>
      <c r="H512" s="26"/>
    </row>
    <row r="513" s="5" customFormat="1" customHeight="1" spans="1:8">
      <c r="A513" s="13">
        <v>512</v>
      </c>
      <c r="B513" s="26" t="s">
        <v>886</v>
      </c>
      <c r="C513" s="26" t="s">
        <v>945</v>
      </c>
      <c r="D513" s="27" t="s">
        <v>977</v>
      </c>
      <c r="E513" s="26" t="s">
        <v>926</v>
      </c>
      <c r="F513" s="27" t="s">
        <v>978</v>
      </c>
      <c r="G513" s="28">
        <v>5</v>
      </c>
      <c r="H513" s="26"/>
    </row>
    <row r="514" s="5" customFormat="1" customHeight="1" spans="1:8">
      <c r="A514" s="13">
        <v>513</v>
      </c>
      <c r="B514" s="26" t="s">
        <v>886</v>
      </c>
      <c r="C514" s="26" t="s">
        <v>945</v>
      </c>
      <c r="D514" s="27" t="s">
        <v>979</v>
      </c>
      <c r="E514" s="26" t="s">
        <v>926</v>
      </c>
      <c r="F514" s="27" t="s">
        <v>941</v>
      </c>
      <c r="G514" s="28">
        <v>6</v>
      </c>
      <c r="H514" s="26"/>
    </row>
    <row r="515" s="5" customFormat="1" customHeight="1" spans="1:8">
      <c r="A515" s="13">
        <v>514</v>
      </c>
      <c r="B515" s="26" t="s">
        <v>886</v>
      </c>
      <c r="C515" s="26" t="s">
        <v>945</v>
      </c>
      <c r="D515" s="27" t="s">
        <v>980</v>
      </c>
      <c r="E515" s="26" t="s">
        <v>926</v>
      </c>
      <c r="F515" s="27" t="s">
        <v>981</v>
      </c>
      <c r="G515" s="28">
        <v>3</v>
      </c>
      <c r="H515" s="26"/>
    </row>
    <row r="516" s="5" customFormat="1" customHeight="1" spans="1:8">
      <c r="A516" s="13">
        <v>515</v>
      </c>
      <c r="B516" s="26" t="s">
        <v>886</v>
      </c>
      <c r="C516" s="26" t="s">
        <v>945</v>
      </c>
      <c r="D516" s="27" t="s">
        <v>982</v>
      </c>
      <c r="E516" s="26" t="s">
        <v>926</v>
      </c>
      <c r="F516" s="27" t="s">
        <v>983</v>
      </c>
      <c r="G516" s="28">
        <v>5</v>
      </c>
      <c r="H516" s="26"/>
    </row>
    <row r="517" s="5" customFormat="1" customHeight="1" spans="1:8">
      <c r="A517" s="13">
        <v>516</v>
      </c>
      <c r="B517" s="26" t="s">
        <v>886</v>
      </c>
      <c r="C517" s="26" t="s">
        <v>924</v>
      </c>
      <c r="D517" s="27" t="s">
        <v>984</v>
      </c>
      <c r="E517" s="26" t="s">
        <v>985</v>
      </c>
      <c r="F517" s="27" t="s">
        <v>986</v>
      </c>
      <c r="G517" s="43">
        <v>2.3</v>
      </c>
      <c r="H517" s="44" t="str">
        <f>_xlfn.DISPIMG("ID_E264A704FF1543868464B35356204CFC",1)</f>
        <v>=DISPIMG("ID_E264A704FF1543868464B35356204CFC",1)</v>
      </c>
    </row>
    <row r="518" s="5" customFormat="1" customHeight="1" spans="1:8">
      <c r="A518" s="13">
        <v>517</v>
      </c>
      <c r="B518" s="26" t="s">
        <v>886</v>
      </c>
      <c r="C518" s="26" t="s">
        <v>924</v>
      </c>
      <c r="D518" s="27" t="s">
        <v>987</v>
      </c>
      <c r="E518" s="26" t="s">
        <v>985</v>
      </c>
      <c r="F518" s="27" t="s">
        <v>986</v>
      </c>
      <c r="G518" s="43">
        <v>2.3</v>
      </c>
      <c r="H518" s="44" t="str">
        <f>_xlfn.DISPIMG("ID_4C87A093035B45FCAFA525D3979501D5",1)</f>
        <v>=DISPIMG("ID_4C87A093035B45FCAFA525D3979501D5",1)</v>
      </c>
    </row>
    <row r="519" s="5" customFormat="1" customHeight="1" spans="1:8">
      <c r="A519" s="13">
        <v>518</v>
      </c>
      <c r="B519" s="26" t="s">
        <v>886</v>
      </c>
      <c r="C519" s="26" t="s">
        <v>924</v>
      </c>
      <c r="D519" s="27" t="s">
        <v>988</v>
      </c>
      <c r="E519" s="26" t="s">
        <v>985</v>
      </c>
      <c r="F519" s="27" t="s">
        <v>989</v>
      </c>
      <c r="G519" s="43">
        <v>2.3</v>
      </c>
      <c r="H519" s="44" t="str">
        <f>_xlfn.DISPIMG("ID_DC92AF0615F5480287C9157195EBD8CD",1)</f>
        <v>=DISPIMG("ID_DC92AF0615F5480287C9157195EBD8CD",1)</v>
      </c>
    </row>
    <row r="520" s="5" customFormat="1" customHeight="1" spans="1:8">
      <c r="A520" s="13">
        <v>519</v>
      </c>
      <c r="B520" s="26" t="s">
        <v>886</v>
      </c>
      <c r="C520" s="26" t="s">
        <v>924</v>
      </c>
      <c r="D520" s="27" t="s">
        <v>990</v>
      </c>
      <c r="E520" s="26" t="s">
        <v>985</v>
      </c>
      <c r="F520" s="27" t="s">
        <v>989</v>
      </c>
      <c r="G520" s="43">
        <v>2.3</v>
      </c>
      <c r="H520" s="44" t="str">
        <f>_xlfn.DISPIMG("ID_66E1CE33B7AB419F8B8D298812BA5D4B",1)</f>
        <v>=DISPIMG("ID_66E1CE33B7AB419F8B8D298812BA5D4B",1)</v>
      </c>
    </row>
    <row r="521" s="5" customFormat="1" customHeight="1" spans="1:8">
      <c r="A521" s="13">
        <v>520</v>
      </c>
      <c r="B521" s="26" t="s">
        <v>886</v>
      </c>
      <c r="C521" s="26" t="s">
        <v>924</v>
      </c>
      <c r="D521" s="27" t="s">
        <v>991</v>
      </c>
      <c r="E521" s="26" t="s">
        <v>985</v>
      </c>
      <c r="F521" s="27" t="s">
        <v>989</v>
      </c>
      <c r="G521" s="43">
        <v>2.3</v>
      </c>
      <c r="H521" s="44" t="str">
        <f>_xlfn.DISPIMG("ID_78AE944D98D244AF86C234E248021C9E",1)</f>
        <v>=DISPIMG("ID_78AE944D98D244AF86C234E248021C9E",1)</v>
      </c>
    </row>
    <row r="522" s="5" customFormat="1" customHeight="1" spans="1:8">
      <c r="A522" s="13">
        <v>521</v>
      </c>
      <c r="B522" s="26" t="s">
        <v>886</v>
      </c>
      <c r="C522" s="26" t="s">
        <v>924</v>
      </c>
      <c r="D522" s="27" t="s">
        <v>992</v>
      </c>
      <c r="E522" s="26" t="s">
        <v>985</v>
      </c>
      <c r="F522" s="27" t="s">
        <v>989</v>
      </c>
      <c r="G522" s="43">
        <v>2.3</v>
      </c>
      <c r="H522" s="44" t="str">
        <f>_xlfn.DISPIMG("ID_AD8640E878774B6F9B369A5753C33412",1)</f>
        <v>=DISPIMG("ID_AD8640E878774B6F9B369A5753C33412",1)</v>
      </c>
    </row>
    <row r="523" s="5" customFormat="1" customHeight="1" spans="1:8">
      <c r="A523" s="13">
        <v>522</v>
      </c>
      <c r="B523" s="26" t="s">
        <v>886</v>
      </c>
      <c r="C523" s="26" t="s">
        <v>924</v>
      </c>
      <c r="D523" s="27" t="s">
        <v>993</v>
      </c>
      <c r="E523" s="26" t="s">
        <v>994</v>
      </c>
      <c r="F523" s="27" t="s">
        <v>995</v>
      </c>
      <c r="G523" s="45">
        <v>18.8</v>
      </c>
      <c r="H523" s="46"/>
    </row>
    <row r="524" s="5" customFormat="1" customHeight="1" spans="1:8">
      <c r="A524" s="13">
        <v>523</v>
      </c>
      <c r="B524" s="26" t="s">
        <v>886</v>
      </c>
      <c r="C524" s="26" t="s">
        <v>924</v>
      </c>
      <c r="D524" s="27" t="s">
        <v>996</v>
      </c>
      <c r="E524" s="26" t="s">
        <v>997</v>
      </c>
      <c r="F524" s="27" t="s">
        <v>995</v>
      </c>
      <c r="G524" s="47">
        <v>19.8</v>
      </c>
      <c r="H524" s="46"/>
    </row>
    <row r="525" s="5" customFormat="1" customHeight="1" spans="1:8">
      <c r="A525" s="13">
        <v>524</v>
      </c>
      <c r="B525" s="26" t="s">
        <v>886</v>
      </c>
      <c r="C525" s="26" t="s">
        <v>924</v>
      </c>
      <c r="D525" s="27" t="s">
        <v>998</v>
      </c>
      <c r="E525" s="26" t="s">
        <v>999</v>
      </c>
      <c r="F525" s="27" t="s">
        <v>995</v>
      </c>
      <c r="G525" s="47">
        <v>16.5</v>
      </c>
      <c r="H525" s="46"/>
    </row>
    <row r="526" s="5" customFormat="1" customHeight="1" spans="1:8">
      <c r="A526" s="13">
        <v>525</v>
      </c>
      <c r="B526" s="26" t="s">
        <v>886</v>
      </c>
      <c r="C526" s="26" t="s">
        <v>924</v>
      </c>
      <c r="D526" s="27" t="s">
        <v>1000</v>
      </c>
      <c r="E526" s="26" t="s">
        <v>994</v>
      </c>
      <c r="F526" s="27" t="s">
        <v>1001</v>
      </c>
      <c r="G526" s="47">
        <v>78</v>
      </c>
      <c r="H526" s="46"/>
    </row>
    <row r="527" s="5" customFormat="1" customHeight="1" spans="1:8">
      <c r="A527" s="13">
        <v>526</v>
      </c>
      <c r="B527" s="26" t="s">
        <v>886</v>
      </c>
      <c r="C527" s="26" t="s">
        <v>924</v>
      </c>
      <c r="D527" s="27" t="s">
        <v>1002</v>
      </c>
      <c r="E527" s="26" t="s">
        <v>994</v>
      </c>
      <c r="F527" s="27" t="s">
        <v>1001</v>
      </c>
      <c r="G527" s="47">
        <v>78</v>
      </c>
      <c r="H527" s="46"/>
    </row>
    <row r="528" s="5" customFormat="1" customHeight="1" spans="1:8">
      <c r="A528" s="13">
        <v>527</v>
      </c>
      <c r="B528" s="26" t="s">
        <v>886</v>
      </c>
      <c r="C528" s="26" t="s">
        <v>924</v>
      </c>
      <c r="D528" s="27" t="s">
        <v>1003</v>
      </c>
      <c r="E528" s="26" t="s">
        <v>1004</v>
      </c>
      <c r="F528" s="27" t="s">
        <v>1005</v>
      </c>
      <c r="G528" s="47">
        <v>25</v>
      </c>
      <c r="H528" s="46"/>
    </row>
    <row r="529" s="5" customFormat="1" customHeight="1" spans="1:8">
      <c r="A529" s="13">
        <v>528</v>
      </c>
      <c r="B529" s="26" t="s">
        <v>886</v>
      </c>
      <c r="C529" s="26" t="s">
        <v>945</v>
      </c>
      <c r="D529" s="27" t="s">
        <v>1006</v>
      </c>
      <c r="E529" s="26" t="s">
        <v>985</v>
      </c>
      <c r="F529" s="27" t="s">
        <v>1007</v>
      </c>
      <c r="G529" s="47">
        <v>4.25</v>
      </c>
      <c r="H529" s="46" t="str">
        <f>_xlfn.DISPIMG("ID_D26F9A399862494BACDA0A613C5A268D",1)</f>
        <v>=DISPIMG("ID_D26F9A399862494BACDA0A613C5A268D",1)</v>
      </c>
    </row>
    <row r="530" s="5" customFormat="1" customHeight="1" spans="1:8">
      <c r="A530" s="13">
        <v>529</v>
      </c>
      <c r="B530" s="26" t="s">
        <v>886</v>
      </c>
      <c r="C530" s="26" t="s">
        <v>945</v>
      </c>
      <c r="D530" s="27" t="s">
        <v>1008</v>
      </c>
      <c r="E530" s="26" t="s">
        <v>985</v>
      </c>
      <c r="F530" s="27" t="s">
        <v>1009</v>
      </c>
      <c r="G530" s="47">
        <v>5.1</v>
      </c>
      <c r="H530" s="46" t="str">
        <f>_xlfn.DISPIMG("ID_A8F5BB078E40457C9661F23AF9D3F9A9",1)</f>
        <v>=DISPIMG("ID_A8F5BB078E40457C9661F23AF9D3F9A9",1)</v>
      </c>
    </row>
    <row r="531" s="5" customFormat="1" customHeight="1" spans="1:8">
      <c r="A531" s="13">
        <v>530</v>
      </c>
      <c r="B531" s="26" t="s">
        <v>886</v>
      </c>
      <c r="C531" s="26" t="s">
        <v>945</v>
      </c>
      <c r="D531" s="27" t="s">
        <v>1010</v>
      </c>
      <c r="E531" s="26" t="s">
        <v>985</v>
      </c>
      <c r="F531" s="27" t="s">
        <v>1011</v>
      </c>
      <c r="G531" s="47">
        <v>2.125</v>
      </c>
      <c r="H531" s="46" t="str">
        <f>_xlfn.DISPIMG("ID_9048A02CDD744C518D425725D79A0C88",1)</f>
        <v>=DISPIMG("ID_9048A02CDD744C518D425725D79A0C88",1)</v>
      </c>
    </row>
    <row r="532" s="5" customFormat="1" customHeight="1" spans="1:8">
      <c r="A532" s="13">
        <v>531</v>
      </c>
      <c r="B532" s="26" t="s">
        <v>886</v>
      </c>
      <c r="C532" s="26" t="s">
        <v>945</v>
      </c>
      <c r="D532" s="27" t="s">
        <v>1012</v>
      </c>
      <c r="E532" s="26" t="s">
        <v>985</v>
      </c>
      <c r="F532" s="27" t="s">
        <v>1013</v>
      </c>
      <c r="G532" s="47">
        <v>4.25</v>
      </c>
      <c r="H532" s="46" t="str">
        <f>_xlfn.DISPIMG("ID_6C5491BCB19C409A80FA04E8C74469F2",1)</f>
        <v>=DISPIMG("ID_6C5491BCB19C409A80FA04E8C74469F2",1)</v>
      </c>
    </row>
    <row r="533" s="5" customFormat="1" customHeight="1" spans="1:8">
      <c r="A533" s="13">
        <v>532</v>
      </c>
      <c r="B533" s="26" t="s">
        <v>886</v>
      </c>
      <c r="C533" s="26" t="s">
        <v>945</v>
      </c>
      <c r="D533" s="27" t="s">
        <v>1014</v>
      </c>
      <c r="E533" s="26" t="s">
        <v>985</v>
      </c>
      <c r="F533" s="27" t="s">
        <v>1015</v>
      </c>
      <c r="G533" s="47">
        <v>4.25</v>
      </c>
      <c r="H533" s="46" t="str">
        <f>_xlfn.DISPIMG("ID_13C2B8276C42454EA7536F764A2B3690",1)</f>
        <v>=DISPIMG("ID_13C2B8276C42454EA7536F764A2B3690",1)</v>
      </c>
    </row>
    <row r="534" s="5" customFormat="1" customHeight="1" spans="1:8">
      <c r="A534" s="13">
        <v>533</v>
      </c>
      <c r="B534" s="26" t="s">
        <v>886</v>
      </c>
      <c r="C534" s="26" t="s">
        <v>945</v>
      </c>
      <c r="D534" s="27" t="s">
        <v>1016</v>
      </c>
      <c r="E534" s="26" t="s">
        <v>985</v>
      </c>
      <c r="F534" s="27" t="s">
        <v>1017</v>
      </c>
      <c r="G534" s="47">
        <v>5.1</v>
      </c>
      <c r="H534" s="46" t="str">
        <f>_xlfn.DISPIMG("ID_8E9CC60FFD684743866EEE51B51CAC02",1)</f>
        <v>=DISPIMG("ID_8E9CC60FFD684743866EEE51B51CAC02",1)</v>
      </c>
    </row>
    <row r="535" s="5" customFormat="1" customHeight="1" spans="1:8">
      <c r="A535" s="13">
        <v>534</v>
      </c>
      <c r="B535" s="26" t="s">
        <v>886</v>
      </c>
      <c r="C535" s="26" t="s">
        <v>945</v>
      </c>
      <c r="D535" s="27" t="s">
        <v>1018</v>
      </c>
      <c r="E535" s="26" t="s">
        <v>985</v>
      </c>
      <c r="F535" s="27" t="s">
        <v>1019</v>
      </c>
      <c r="G535" s="47">
        <v>6.375</v>
      </c>
      <c r="H535" s="46" t="str">
        <f>_xlfn.DISPIMG("ID_63C92F4362D24EAB8E228689E4B8A1BE",1)</f>
        <v>=DISPIMG("ID_63C92F4362D24EAB8E228689E4B8A1BE",1)</v>
      </c>
    </row>
    <row r="536" s="5" customFormat="1" customHeight="1" spans="1:8">
      <c r="A536" s="13">
        <v>535</v>
      </c>
      <c r="B536" s="26" t="s">
        <v>886</v>
      </c>
      <c r="C536" s="26" t="s">
        <v>945</v>
      </c>
      <c r="D536" s="27" t="s">
        <v>1020</v>
      </c>
      <c r="E536" s="26" t="s">
        <v>985</v>
      </c>
      <c r="F536" s="27" t="s">
        <v>1019</v>
      </c>
      <c r="G536" s="47">
        <v>5.1</v>
      </c>
      <c r="H536" s="46" t="str">
        <f>_xlfn.DISPIMG("ID_996D3ECC6685464E96FC13960E4B0659",1)</f>
        <v>=DISPIMG("ID_996D3ECC6685464E96FC13960E4B0659",1)</v>
      </c>
    </row>
    <row r="537" s="5" customFormat="1" customHeight="1" spans="1:8">
      <c r="A537" s="13">
        <v>536</v>
      </c>
      <c r="B537" s="26" t="s">
        <v>886</v>
      </c>
      <c r="C537" s="26" t="s">
        <v>945</v>
      </c>
      <c r="D537" s="27" t="s">
        <v>1021</v>
      </c>
      <c r="E537" s="26" t="s">
        <v>985</v>
      </c>
      <c r="F537" s="27" t="s">
        <v>1015</v>
      </c>
      <c r="G537" s="47">
        <v>5.1</v>
      </c>
      <c r="H537" s="46" t="str">
        <f>_xlfn.DISPIMG("ID_94AE5026432E4860BECB20AD6A3C1CE2",1)</f>
        <v>=DISPIMG("ID_94AE5026432E4860BECB20AD6A3C1CE2",1)</v>
      </c>
    </row>
    <row r="538" s="5" customFormat="1" customHeight="1" spans="1:8">
      <c r="A538" s="13">
        <v>537</v>
      </c>
      <c r="B538" s="26" t="s">
        <v>886</v>
      </c>
      <c r="C538" s="26" t="s">
        <v>945</v>
      </c>
      <c r="D538" s="27" t="s">
        <v>1022</v>
      </c>
      <c r="E538" s="26" t="s">
        <v>985</v>
      </c>
      <c r="F538" s="27" t="s">
        <v>1019</v>
      </c>
      <c r="G538" s="47">
        <v>5.95</v>
      </c>
      <c r="H538" s="46" t="str">
        <f>_xlfn.DISPIMG("ID_070DD624750F4A1D9BD31E25ABF8EB3C",1)</f>
        <v>=DISPIMG("ID_070DD624750F4A1D9BD31E25ABF8EB3C",1)</v>
      </c>
    </row>
    <row r="539" s="5" customFormat="1" customHeight="1" spans="1:8">
      <c r="A539" s="13">
        <v>538</v>
      </c>
      <c r="B539" s="26" t="s">
        <v>886</v>
      </c>
      <c r="C539" s="26" t="s">
        <v>945</v>
      </c>
      <c r="D539" s="27" t="s">
        <v>1023</v>
      </c>
      <c r="E539" s="26" t="s">
        <v>985</v>
      </c>
      <c r="F539" s="27" t="s">
        <v>1019</v>
      </c>
      <c r="G539" s="47">
        <v>2.975</v>
      </c>
      <c r="H539" s="46" t="str">
        <f>_xlfn.DISPIMG("ID_A8D29AF3B4F9471B8CF475D8FF81FD57",1)</f>
        <v>=DISPIMG("ID_A8D29AF3B4F9471B8CF475D8FF81FD57",1)</v>
      </c>
    </row>
    <row r="540" s="5" customFormat="1" customHeight="1" spans="1:8">
      <c r="A540" s="13">
        <v>539</v>
      </c>
      <c r="B540" s="26" t="s">
        <v>886</v>
      </c>
      <c r="C540" s="26" t="s">
        <v>945</v>
      </c>
      <c r="D540" s="27" t="s">
        <v>1024</v>
      </c>
      <c r="E540" s="26" t="s">
        <v>985</v>
      </c>
      <c r="F540" s="27" t="s">
        <v>1017</v>
      </c>
      <c r="G540" s="47">
        <v>3.4</v>
      </c>
      <c r="H540" s="46" t="str">
        <f>_xlfn.DISPIMG("ID_D36FADC1370D4FC8A4681107ADED2040",1)</f>
        <v>=DISPIMG("ID_D36FADC1370D4FC8A4681107ADED2040",1)</v>
      </c>
    </row>
    <row r="541" s="5" customFormat="1" customHeight="1" spans="1:8">
      <c r="A541" s="13">
        <v>540</v>
      </c>
      <c r="B541" s="26" t="s">
        <v>886</v>
      </c>
      <c r="C541" s="26" t="s">
        <v>945</v>
      </c>
      <c r="D541" s="27" t="s">
        <v>1025</v>
      </c>
      <c r="E541" s="26" t="s">
        <v>985</v>
      </c>
      <c r="F541" s="27" t="s">
        <v>1015</v>
      </c>
      <c r="G541" s="47">
        <v>3.4</v>
      </c>
      <c r="H541" s="46" t="str">
        <f>_xlfn.DISPIMG("ID_8B069DDA3D584707AC0CDD8733FD282F",1)</f>
        <v>=DISPIMG("ID_8B069DDA3D584707AC0CDD8733FD282F",1)</v>
      </c>
    </row>
    <row r="542" s="5" customFormat="1" customHeight="1" spans="1:8">
      <c r="A542" s="13">
        <v>541</v>
      </c>
      <c r="B542" s="26" t="s">
        <v>886</v>
      </c>
      <c r="C542" s="26" t="s">
        <v>945</v>
      </c>
      <c r="D542" s="27" t="s">
        <v>1026</v>
      </c>
      <c r="E542" s="26" t="s">
        <v>985</v>
      </c>
      <c r="F542" s="27" t="s">
        <v>1027</v>
      </c>
      <c r="G542" s="47">
        <v>5.95</v>
      </c>
      <c r="H542" s="46" t="str">
        <f>_xlfn.DISPIMG("ID_9676BDEDE5114BB79A4F9537F18F728D",1)</f>
        <v>=DISPIMG("ID_9676BDEDE5114BB79A4F9537F18F728D",1)</v>
      </c>
    </row>
    <row r="543" s="5" customFormat="1" customHeight="1" spans="1:8">
      <c r="A543" s="13">
        <v>542</v>
      </c>
      <c r="B543" s="26" t="s">
        <v>886</v>
      </c>
      <c r="C543" s="26" t="s">
        <v>945</v>
      </c>
      <c r="D543" s="27" t="s">
        <v>1028</v>
      </c>
      <c r="E543" s="26" t="s">
        <v>985</v>
      </c>
      <c r="F543" s="27" t="s">
        <v>1017</v>
      </c>
      <c r="G543" s="47">
        <v>5.1</v>
      </c>
      <c r="H543" s="46" t="str">
        <f>_xlfn.DISPIMG("ID_39F2E35DCC9F42918FF949465F59DE51",1)</f>
        <v>=DISPIMG("ID_39F2E35DCC9F42918FF949465F59DE51",1)</v>
      </c>
    </row>
    <row r="544" s="5" customFormat="1" customHeight="1" spans="1:8">
      <c r="A544" s="13">
        <v>543</v>
      </c>
      <c r="B544" s="26" t="s">
        <v>886</v>
      </c>
      <c r="C544" s="26" t="s">
        <v>945</v>
      </c>
      <c r="D544" s="27" t="s">
        <v>1029</v>
      </c>
      <c r="E544" s="26" t="s">
        <v>985</v>
      </c>
      <c r="F544" s="27" t="s">
        <v>1011</v>
      </c>
      <c r="G544" s="47">
        <v>2.975</v>
      </c>
      <c r="H544" s="46" t="str">
        <f>_xlfn.DISPIMG("ID_021B5669823C44D88D994FC003A6A320",1)</f>
        <v>=DISPIMG("ID_021B5669823C44D88D994FC003A6A320",1)</v>
      </c>
    </row>
    <row r="545" s="5" customFormat="1" customHeight="1" spans="1:8">
      <c r="A545" s="13">
        <v>544</v>
      </c>
      <c r="B545" s="26" t="s">
        <v>886</v>
      </c>
      <c r="C545" s="26" t="s">
        <v>945</v>
      </c>
      <c r="D545" s="27" t="s">
        <v>1030</v>
      </c>
      <c r="E545" s="26" t="s">
        <v>985</v>
      </c>
      <c r="F545" s="27" t="s">
        <v>1017</v>
      </c>
      <c r="G545" s="47">
        <v>5.95</v>
      </c>
      <c r="H545" s="46" t="str">
        <f>_xlfn.DISPIMG("ID_34E3D4A57387402FAF9E08349C7A8C19",1)</f>
        <v>=DISPIMG("ID_34E3D4A57387402FAF9E08349C7A8C19",1)</v>
      </c>
    </row>
    <row r="546" s="5" customFormat="1" customHeight="1" spans="1:8">
      <c r="A546" s="13">
        <v>545</v>
      </c>
      <c r="B546" s="26" t="s">
        <v>886</v>
      </c>
      <c r="C546" s="26" t="s">
        <v>945</v>
      </c>
      <c r="D546" s="27" t="s">
        <v>1031</v>
      </c>
      <c r="E546" s="26" t="s">
        <v>985</v>
      </c>
      <c r="F546" s="27" t="s">
        <v>1032</v>
      </c>
      <c r="G546" s="47">
        <v>4.25</v>
      </c>
      <c r="H546" s="46" t="str">
        <f>_xlfn.DISPIMG("ID_2C0A8A27F3C94489B127B65132467B0E",1)</f>
        <v>=DISPIMG("ID_2C0A8A27F3C94489B127B65132467B0E",1)</v>
      </c>
    </row>
    <row r="547" s="5" customFormat="1" customHeight="1" spans="1:8">
      <c r="A547" s="13">
        <v>546</v>
      </c>
      <c r="B547" s="26" t="s">
        <v>886</v>
      </c>
      <c r="C547" s="26" t="s">
        <v>945</v>
      </c>
      <c r="D547" s="27" t="s">
        <v>1033</v>
      </c>
      <c r="E547" s="26" t="s">
        <v>985</v>
      </c>
      <c r="F547" s="27" t="s">
        <v>1015</v>
      </c>
      <c r="G547" s="47">
        <v>3.4</v>
      </c>
      <c r="H547" s="46" t="str">
        <f>_xlfn.DISPIMG("ID_D5B0932DA3D84CFC9BB8162FDC001B24",1)</f>
        <v>=DISPIMG("ID_D5B0932DA3D84CFC9BB8162FDC001B24",1)</v>
      </c>
    </row>
    <row r="548" s="5" customFormat="1" customHeight="1" spans="1:8">
      <c r="A548" s="13">
        <v>547</v>
      </c>
      <c r="B548" s="26" t="s">
        <v>886</v>
      </c>
      <c r="C548" s="26" t="s">
        <v>945</v>
      </c>
      <c r="D548" s="27" t="s">
        <v>1034</v>
      </c>
      <c r="E548" s="26" t="s">
        <v>985</v>
      </c>
      <c r="F548" s="27" t="s">
        <v>1015</v>
      </c>
      <c r="G548" s="47">
        <v>4.25</v>
      </c>
      <c r="H548" s="46" t="str">
        <f>_xlfn.DISPIMG("ID_6DA708B6BDC842ED832987E95B59F5FA",1)</f>
        <v>=DISPIMG("ID_6DA708B6BDC842ED832987E95B59F5FA",1)</v>
      </c>
    </row>
    <row r="549" s="5" customFormat="1" customHeight="1" spans="1:8">
      <c r="A549" s="13">
        <v>548</v>
      </c>
      <c r="B549" s="26" t="s">
        <v>886</v>
      </c>
      <c r="C549" s="26" t="s">
        <v>945</v>
      </c>
      <c r="D549" s="27" t="s">
        <v>1035</v>
      </c>
      <c r="E549" s="26" t="s">
        <v>985</v>
      </c>
      <c r="F549" s="27" t="s">
        <v>1036</v>
      </c>
      <c r="G549" s="47">
        <v>3.4</v>
      </c>
      <c r="H549" s="46" t="str">
        <f>_xlfn.DISPIMG("ID_8AE2318C888B4B64BE1C273D3F91FDFD",1)</f>
        <v>=DISPIMG("ID_8AE2318C888B4B64BE1C273D3F91FDFD",1)</v>
      </c>
    </row>
    <row r="550" s="5" customFormat="1" customHeight="1" spans="1:8">
      <c r="A550" s="13">
        <v>549</v>
      </c>
      <c r="B550" s="26" t="s">
        <v>886</v>
      </c>
      <c r="C550" s="26" t="s">
        <v>945</v>
      </c>
      <c r="D550" s="27" t="s">
        <v>1037</v>
      </c>
      <c r="E550" s="26" t="s">
        <v>985</v>
      </c>
      <c r="F550" s="27" t="s">
        <v>1019</v>
      </c>
      <c r="G550" s="47">
        <v>3.825</v>
      </c>
      <c r="H550" s="46" t="str">
        <f>_xlfn.DISPIMG("ID_89BA23953BA642668741C79897302850",1)</f>
        <v>=DISPIMG("ID_89BA23953BA642668741C79897302850",1)</v>
      </c>
    </row>
    <row r="551" s="5" customFormat="1" customHeight="1" spans="1:8">
      <c r="A551" s="13">
        <v>550</v>
      </c>
      <c r="B551" s="26" t="s">
        <v>886</v>
      </c>
      <c r="C551" s="26" t="s">
        <v>945</v>
      </c>
      <c r="D551" s="27" t="s">
        <v>1038</v>
      </c>
      <c r="E551" s="26" t="s">
        <v>985</v>
      </c>
      <c r="F551" s="27" t="s">
        <v>1015</v>
      </c>
      <c r="G551" s="47">
        <v>4.25</v>
      </c>
      <c r="H551" s="46" t="str">
        <f>_xlfn.DISPIMG("ID_00D4616D22B449A294195B362BC39646",1)</f>
        <v>=DISPIMG("ID_00D4616D22B449A294195B362BC39646",1)</v>
      </c>
    </row>
    <row r="552" s="5" customFormat="1" customHeight="1" spans="1:8">
      <c r="A552" s="13">
        <v>551</v>
      </c>
      <c r="B552" s="26" t="s">
        <v>886</v>
      </c>
      <c r="C552" s="26" t="s">
        <v>945</v>
      </c>
      <c r="D552" s="27" t="s">
        <v>1039</v>
      </c>
      <c r="E552" s="26" t="s">
        <v>985</v>
      </c>
      <c r="F552" s="27" t="s">
        <v>1015</v>
      </c>
      <c r="G552" s="47">
        <v>5.1</v>
      </c>
      <c r="H552" s="46" t="str">
        <f>_xlfn.DISPIMG("ID_D286E3DCC70448D2A3B148DF8AF9CC19",1)</f>
        <v>=DISPIMG("ID_D286E3DCC70448D2A3B148DF8AF9CC19",1)</v>
      </c>
    </row>
    <row r="553" s="5" customFormat="1" customHeight="1" spans="1:8">
      <c r="A553" s="13">
        <v>552</v>
      </c>
      <c r="B553" s="26" t="s">
        <v>886</v>
      </c>
      <c r="C553" s="26" t="s">
        <v>945</v>
      </c>
      <c r="D553" s="27" t="s">
        <v>1040</v>
      </c>
      <c r="E553" s="26" t="s">
        <v>985</v>
      </c>
      <c r="F553" s="27" t="s">
        <v>1015</v>
      </c>
      <c r="G553" s="47">
        <v>6.8</v>
      </c>
      <c r="H553" s="46" t="str">
        <f>_xlfn.DISPIMG("ID_4D4E16CF62C34565AF8F8DA48F63BE53",1)</f>
        <v>=DISPIMG("ID_4D4E16CF62C34565AF8F8DA48F63BE53",1)</v>
      </c>
    </row>
    <row r="554" s="5" customFormat="1" customHeight="1" spans="1:8">
      <c r="A554" s="13">
        <v>553</v>
      </c>
      <c r="B554" s="26" t="s">
        <v>886</v>
      </c>
      <c r="C554" s="26" t="s">
        <v>945</v>
      </c>
      <c r="D554" s="27" t="s">
        <v>1041</v>
      </c>
      <c r="E554" s="26" t="s">
        <v>985</v>
      </c>
      <c r="F554" s="27" t="s">
        <v>1042</v>
      </c>
      <c r="G554" s="47">
        <v>5.1</v>
      </c>
      <c r="H554" s="46" t="str">
        <f>_xlfn.DISPIMG("ID_33EC3DE88EA146A396307F263D1F4CFD",1)</f>
        <v>=DISPIMG("ID_33EC3DE88EA146A396307F263D1F4CFD",1)</v>
      </c>
    </row>
    <row r="555" s="5" customFormat="1" customHeight="1" spans="1:8">
      <c r="A555" s="13">
        <v>554</v>
      </c>
      <c r="B555" s="42" t="s">
        <v>886</v>
      </c>
      <c r="C555" s="42" t="s">
        <v>1043</v>
      </c>
      <c r="D555" s="42" t="s">
        <v>1044</v>
      </c>
      <c r="E555" s="42" t="s">
        <v>1045</v>
      </c>
      <c r="F555" s="42" t="s">
        <v>1046</v>
      </c>
      <c r="G555" s="28">
        <v>12</v>
      </c>
      <c r="H555" s="26"/>
    </row>
    <row r="556" s="5" customFormat="1" customHeight="1" spans="1:8">
      <c r="A556" s="13">
        <v>555</v>
      </c>
      <c r="B556" s="42" t="s">
        <v>886</v>
      </c>
      <c r="C556" s="42" t="s">
        <v>1043</v>
      </c>
      <c r="D556" s="42" t="s">
        <v>1047</v>
      </c>
      <c r="E556" s="42" t="s">
        <v>1048</v>
      </c>
      <c r="F556" s="42" t="s">
        <v>1049</v>
      </c>
      <c r="G556" s="28">
        <v>9</v>
      </c>
      <c r="H556" s="26"/>
    </row>
    <row r="557" s="5" customFormat="1" customHeight="1" spans="1:8">
      <c r="A557" s="13">
        <v>556</v>
      </c>
      <c r="B557" s="42" t="s">
        <v>886</v>
      </c>
      <c r="C557" s="42" t="s">
        <v>1043</v>
      </c>
      <c r="D557" s="42" t="s">
        <v>1050</v>
      </c>
      <c r="E557" s="42" t="s">
        <v>1051</v>
      </c>
      <c r="F557" s="42" t="s">
        <v>1052</v>
      </c>
      <c r="G557" s="28">
        <v>3.5</v>
      </c>
      <c r="H557" s="26"/>
    </row>
    <row r="558" s="5" customFormat="1" customHeight="1" spans="1:8">
      <c r="A558" s="13">
        <v>557</v>
      </c>
      <c r="B558" s="42" t="s">
        <v>886</v>
      </c>
      <c r="C558" s="42" t="s">
        <v>1043</v>
      </c>
      <c r="D558" s="42" t="s">
        <v>1053</v>
      </c>
      <c r="E558" s="42" t="s">
        <v>1054</v>
      </c>
      <c r="F558" s="42" t="s">
        <v>1055</v>
      </c>
      <c r="G558" s="28">
        <v>5</v>
      </c>
      <c r="H558" s="26"/>
    </row>
    <row r="559" s="5" customFormat="1" customHeight="1" spans="1:8">
      <c r="A559" s="13">
        <v>558</v>
      </c>
      <c r="B559" s="42" t="s">
        <v>886</v>
      </c>
      <c r="C559" s="42" t="s">
        <v>1043</v>
      </c>
      <c r="D559" s="42" t="s">
        <v>1056</v>
      </c>
      <c r="E559" s="42" t="s">
        <v>1045</v>
      </c>
      <c r="F559" s="42" t="s">
        <v>1057</v>
      </c>
      <c r="G559" s="28">
        <v>18</v>
      </c>
      <c r="H559" s="26"/>
    </row>
    <row r="560" s="5" customFormat="1" customHeight="1" spans="1:8">
      <c r="A560" s="13">
        <v>559</v>
      </c>
      <c r="B560" s="26" t="s">
        <v>886</v>
      </c>
      <c r="C560" s="26" t="s">
        <v>1043</v>
      </c>
      <c r="D560" s="27" t="s">
        <v>1058</v>
      </c>
      <c r="E560" s="26" t="s">
        <v>1059</v>
      </c>
      <c r="F560" s="27" t="s">
        <v>995</v>
      </c>
      <c r="G560" s="28">
        <v>12.9</v>
      </c>
      <c r="H560" s="26"/>
    </row>
    <row r="561" s="5" customFormat="1" customHeight="1" spans="1:8">
      <c r="A561" s="13">
        <v>560</v>
      </c>
      <c r="B561" s="26" t="s">
        <v>886</v>
      </c>
      <c r="C561" s="26" t="s">
        <v>1043</v>
      </c>
      <c r="D561" s="27" t="s">
        <v>1060</v>
      </c>
      <c r="E561" s="26" t="s">
        <v>1061</v>
      </c>
      <c r="F561" s="27" t="s">
        <v>995</v>
      </c>
      <c r="G561" s="28">
        <v>28</v>
      </c>
      <c r="H561" s="26"/>
    </row>
    <row r="562" s="5" customFormat="1" customHeight="1" spans="1:8">
      <c r="A562" s="13">
        <v>561</v>
      </c>
      <c r="B562" s="26" t="s">
        <v>886</v>
      </c>
      <c r="C562" s="26" t="s">
        <v>1043</v>
      </c>
      <c r="D562" s="27" t="s">
        <v>1062</v>
      </c>
      <c r="E562" s="26" t="s">
        <v>1061</v>
      </c>
      <c r="F562" s="27" t="s">
        <v>995</v>
      </c>
      <c r="G562" s="28">
        <v>28</v>
      </c>
      <c r="H562" s="26"/>
    </row>
    <row r="563" s="5" customFormat="1" customHeight="1" spans="1:8">
      <c r="A563" s="13">
        <v>562</v>
      </c>
      <c r="B563" s="26" t="s">
        <v>886</v>
      </c>
      <c r="C563" s="26" t="s">
        <v>1043</v>
      </c>
      <c r="D563" s="27" t="s">
        <v>1063</v>
      </c>
      <c r="E563" s="26" t="s">
        <v>1064</v>
      </c>
      <c r="F563" s="27" t="s">
        <v>1065</v>
      </c>
      <c r="G563" s="28">
        <v>25</v>
      </c>
      <c r="H563" s="26"/>
    </row>
    <row r="564" s="5" customFormat="1" customHeight="1" spans="1:8">
      <c r="A564" s="13">
        <v>563</v>
      </c>
      <c r="B564" s="26" t="s">
        <v>886</v>
      </c>
      <c r="C564" s="26" t="s">
        <v>1043</v>
      </c>
      <c r="D564" s="27" t="s">
        <v>1066</v>
      </c>
      <c r="E564" s="26" t="s">
        <v>1064</v>
      </c>
      <c r="F564" s="27" t="s">
        <v>1065</v>
      </c>
      <c r="G564" s="28">
        <v>28</v>
      </c>
      <c r="H564" s="26"/>
    </row>
    <row r="565" s="2" customFormat="1" customHeight="1" spans="1:8">
      <c r="A565" s="13">
        <v>564</v>
      </c>
      <c r="B565" s="15" t="s">
        <v>1067</v>
      </c>
      <c r="C565" s="15" t="s">
        <v>1068</v>
      </c>
      <c r="D565" s="16" t="s">
        <v>1069</v>
      </c>
      <c r="E565" s="15" t="s">
        <v>1070</v>
      </c>
      <c r="F565" s="16" t="s">
        <v>1071</v>
      </c>
      <c r="G565" s="17">
        <v>58.2666666666667</v>
      </c>
      <c r="H565" s="15" t="str">
        <f>_xlfn.DISPIMG("ID_06CA943E240E4873881AE7E3CE556235",1)</f>
        <v>=DISPIMG("ID_06CA943E240E4873881AE7E3CE556235",1)</v>
      </c>
    </row>
    <row r="566" s="2" customFormat="1" customHeight="1" spans="1:8">
      <c r="A566" s="13">
        <v>565</v>
      </c>
      <c r="B566" s="15" t="s">
        <v>1067</v>
      </c>
      <c r="C566" s="15" t="s">
        <v>1068</v>
      </c>
      <c r="D566" s="16" t="s">
        <v>1072</v>
      </c>
      <c r="E566" s="15" t="s">
        <v>1073</v>
      </c>
      <c r="F566" s="16" t="s">
        <v>1071</v>
      </c>
      <c r="G566" s="17">
        <v>58.2666666666667</v>
      </c>
      <c r="H566" s="15" t="str">
        <f>_xlfn.DISPIMG("ID_EBA38DDEC37C45CEAF58350718FC1D37",1)</f>
        <v>=DISPIMG("ID_EBA38DDEC37C45CEAF58350718FC1D37",1)</v>
      </c>
    </row>
    <row r="567" s="2" customFormat="1" customHeight="1" spans="1:8">
      <c r="A567" s="13">
        <v>566</v>
      </c>
      <c r="B567" s="15" t="s">
        <v>1067</v>
      </c>
      <c r="C567" s="15" t="s">
        <v>1068</v>
      </c>
      <c r="D567" s="16" t="s">
        <v>1074</v>
      </c>
      <c r="E567" s="15" t="s">
        <v>1075</v>
      </c>
      <c r="F567" s="16" t="s">
        <v>1071</v>
      </c>
      <c r="G567" s="17">
        <v>63</v>
      </c>
      <c r="H567" s="15" t="str">
        <f>_xlfn.DISPIMG("ID_27358D8400884960A8344A64E45EB1AF",1)</f>
        <v>=DISPIMG("ID_27358D8400884960A8344A64E45EB1AF",1)</v>
      </c>
    </row>
    <row r="568" s="5" customFormat="1" customHeight="1" spans="1:8">
      <c r="A568" s="13">
        <v>567</v>
      </c>
      <c r="B568" s="26" t="s">
        <v>1067</v>
      </c>
      <c r="C568" s="26" t="s">
        <v>1068</v>
      </c>
      <c r="D568" s="27" t="s">
        <v>1076</v>
      </c>
      <c r="E568" s="26" t="s">
        <v>1073</v>
      </c>
      <c r="F568" s="27" t="s">
        <v>499</v>
      </c>
      <c r="G568" s="28">
        <v>22.7</v>
      </c>
      <c r="H568" s="26"/>
    </row>
    <row r="569" s="5" customFormat="1" customHeight="1" spans="1:8">
      <c r="A569" s="13">
        <v>568</v>
      </c>
      <c r="B569" s="26" t="s">
        <v>1067</v>
      </c>
      <c r="C569" s="26" t="s">
        <v>1068</v>
      </c>
      <c r="D569" s="27" t="s">
        <v>1077</v>
      </c>
      <c r="E569" s="26" t="s">
        <v>1073</v>
      </c>
      <c r="F569" s="27" t="s">
        <v>1078</v>
      </c>
      <c r="G569" s="28">
        <v>13.95</v>
      </c>
      <c r="H569" s="26"/>
    </row>
    <row r="570" s="5" customFormat="1" customHeight="1" spans="1:8">
      <c r="A570" s="13">
        <v>569</v>
      </c>
      <c r="B570" s="26" t="s">
        <v>1067</v>
      </c>
      <c r="C570" s="26" t="s">
        <v>1068</v>
      </c>
      <c r="D570" s="27" t="s">
        <v>1079</v>
      </c>
      <c r="E570" s="26"/>
      <c r="F570" s="27" t="s">
        <v>499</v>
      </c>
      <c r="G570" s="28">
        <v>19.8</v>
      </c>
      <c r="H570" s="26"/>
    </row>
    <row r="571" s="5" customFormat="1" customHeight="1" spans="1:8">
      <c r="A571" s="13">
        <v>570</v>
      </c>
      <c r="B571" s="26" t="s">
        <v>1067</v>
      </c>
      <c r="C571" s="26" t="s">
        <v>1068</v>
      </c>
      <c r="D571" s="27" t="s">
        <v>1080</v>
      </c>
      <c r="E571" s="26" t="s">
        <v>1075</v>
      </c>
      <c r="F571" s="27" t="s">
        <v>1081</v>
      </c>
      <c r="G571" s="28">
        <v>59.9</v>
      </c>
      <c r="H571" s="26"/>
    </row>
    <row r="572" s="2" customFormat="1" customHeight="1" spans="1:8">
      <c r="A572" s="13">
        <v>571</v>
      </c>
      <c r="B572" s="15" t="s">
        <v>1067</v>
      </c>
      <c r="C572" s="15" t="s">
        <v>1082</v>
      </c>
      <c r="D572" s="16" t="s">
        <v>1076</v>
      </c>
      <c r="E572" s="15" t="s">
        <v>1073</v>
      </c>
      <c r="F572" s="16" t="s">
        <v>499</v>
      </c>
      <c r="G572" s="17">
        <v>23.5</v>
      </c>
      <c r="H572" s="15" t="str">
        <f>_xlfn.DISPIMG("ID_86BDFC367F464FBC8139D41E5BBC50AE",1)</f>
        <v>=DISPIMG("ID_86BDFC367F464FBC8139D41E5BBC50AE",1)</v>
      </c>
    </row>
    <row r="573" s="2" customFormat="1" customHeight="1" spans="1:8">
      <c r="A573" s="13">
        <v>572</v>
      </c>
      <c r="B573" s="15" t="s">
        <v>1067</v>
      </c>
      <c r="C573" s="15" t="s">
        <v>1082</v>
      </c>
      <c r="D573" s="16" t="s">
        <v>1083</v>
      </c>
      <c r="E573" s="15" t="s">
        <v>1073</v>
      </c>
      <c r="F573" s="16" t="s">
        <v>499</v>
      </c>
      <c r="G573" s="17">
        <v>29.9</v>
      </c>
      <c r="H573" s="15" t="str">
        <f>_xlfn.DISPIMG("ID_8E27055DCC694FF2A79FF9172795C9D2",1)</f>
        <v>=DISPIMG("ID_8E27055DCC694FF2A79FF9172795C9D2",1)</v>
      </c>
    </row>
    <row r="574" s="2" customFormat="1" customHeight="1" spans="1:8">
      <c r="A574" s="13">
        <v>573</v>
      </c>
      <c r="B574" s="15" t="s">
        <v>1067</v>
      </c>
      <c r="C574" s="15" t="s">
        <v>1082</v>
      </c>
      <c r="D574" s="16" t="s">
        <v>1077</v>
      </c>
      <c r="E574" s="15" t="s">
        <v>1073</v>
      </c>
      <c r="F574" s="16" t="s">
        <v>1078</v>
      </c>
      <c r="G574" s="17">
        <v>14.4</v>
      </c>
      <c r="H574" s="15" t="str">
        <f>_xlfn.DISPIMG("ID_B2FAEB58806D4676B0B66D8EBFA57BAB",1)</f>
        <v>=DISPIMG("ID_B2FAEB58806D4676B0B66D8EBFA57BAB",1)</v>
      </c>
    </row>
    <row r="575" s="2" customFormat="1" customHeight="1" spans="1:8">
      <c r="A575" s="13">
        <v>574</v>
      </c>
      <c r="B575" s="15" t="s">
        <v>1067</v>
      </c>
      <c r="C575" s="15" t="s">
        <v>1082</v>
      </c>
      <c r="D575" s="15" t="s">
        <v>1077</v>
      </c>
      <c r="E575" s="15" t="s">
        <v>1073</v>
      </c>
      <c r="F575" s="16" t="s">
        <v>1084</v>
      </c>
      <c r="G575" s="25">
        <v>22.9</v>
      </c>
      <c r="H575" s="18" t="str">
        <f>_xlfn.DISPIMG("ID_E465A034DD864A03BA3ECBA4184E570D",1)</f>
        <v>=DISPIMG("ID_E465A034DD864A03BA3ECBA4184E570D",1)</v>
      </c>
    </row>
    <row r="576" s="2" customFormat="1" customHeight="1" spans="1:8">
      <c r="A576" s="13">
        <v>575</v>
      </c>
      <c r="B576" s="15" t="s">
        <v>1085</v>
      </c>
      <c r="C576" s="15" t="s">
        <v>1086</v>
      </c>
      <c r="D576" s="16" t="s">
        <v>1087</v>
      </c>
      <c r="E576" s="15"/>
      <c r="F576" s="16" t="s">
        <v>1088</v>
      </c>
      <c r="G576" s="17">
        <v>2.99</v>
      </c>
      <c r="H576" s="15" t="str">
        <f>_xlfn.DISPIMG("ID_24479D5BFBEA480C96754896CEB06204",1)</f>
        <v>=DISPIMG("ID_24479D5BFBEA480C96754896CEB06204",1)</v>
      </c>
    </row>
    <row r="577" s="2" customFormat="1" customHeight="1" spans="1:8">
      <c r="A577" s="13">
        <v>576</v>
      </c>
      <c r="B577" s="15" t="s">
        <v>1085</v>
      </c>
      <c r="C577" s="15" t="s">
        <v>1086</v>
      </c>
      <c r="D577" s="16" t="s">
        <v>1089</v>
      </c>
      <c r="E577" s="15"/>
      <c r="F577" s="16" t="s">
        <v>1090</v>
      </c>
      <c r="G577" s="17">
        <v>2.05333333333333</v>
      </c>
      <c r="H577" s="15" t="str">
        <f>_xlfn.DISPIMG("ID_020A8E6A6A87489D933622A73441BF1C",1)</f>
        <v>=DISPIMG("ID_020A8E6A6A87489D933622A73441BF1C",1)</v>
      </c>
    </row>
    <row r="578" s="2" customFormat="1" customHeight="1" spans="1:8">
      <c r="A578" s="13">
        <v>577</v>
      </c>
      <c r="B578" s="15" t="s">
        <v>1085</v>
      </c>
      <c r="C578" s="15" t="s">
        <v>1086</v>
      </c>
      <c r="D578" s="16" t="s">
        <v>1091</v>
      </c>
      <c r="E578" s="15"/>
      <c r="F578" s="16" t="s">
        <v>1092</v>
      </c>
      <c r="G578" s="17">
        <v>3.48</v>
      </c>
      <c r="H578" s="15" t="str">
        <f>_xlfn.DISPIMG("ID_22D3AD970E424ED4A73EDCA0D8AA022A",1)</f>
        <v>=DISPIMG("ID_22D3AD970E424ED4A73EDCA0D8AA022A",1)</v>
      </c>
    </row>
    <row r="579" s="2" customFormat="1" customHeight="1" spans="1:8">
      <c r="A579" s="13">
        <v>578</v>
      </c>
      <c r="B579" s="15" t="s">
        <v>1085</v>
      </c>
      <c r="C579" s="15" t="s">
        <v>1086</v>
      </c>
      <c r="D579" s="16" t="s">
        <v>1093</v>
      </c>
      <c r="E579" s="15"/>
      <c r="F579" s="16" t="s">
        <v>1094</v>
      </c>
      <c r="G579" s="17">
        <v>2.05666666666667</v>
      </c>
      <c r="H579" s="15" t="str">
        <f>_xlfn.DISPIMG("ID_95FCAB364329497BA140A293972F25A3",1)</f>
        <v>=DISPIMG("ID_95FCAB364329497BA140A293972F25A3",1)</v>
      </c>
    </row>
    <row r="580" s="2" customFormat="1" customHeight="1" spans="1:8">
      <c r="A580" s="13">
        <v>579</v>
      </c>
      <c r="B580" s="15" t="s">
        <v>1085</v>
      </c>
      <c r="C580" s="15" t="s">
        <v>1086</v>
      </c>
      <c r="D580" s="16" t="s">
        <v>1095</v>
      </c>
      <c r="E580" s="15"/>
      <c r="F580" s="16" t="s">
        <v>1096</v>
      </c>
      <c r="G580" s="17">
        <v>2.12333333333333</v>
      </c>
      <c r="H580" s="15" t="str">
        <f>_xlfn.DISPIMG("ID_2FF2DEDC0A1148F98632D88F74B2A05C",1)</f>
        <v>=DISPIMG("ID_2FF2DEDC0A1148F98632D88F74B2A05C",1)</v>
      </c>
    </row>
    <row r="581" s="2" customFormat="1" customHeight="1" spans="1:8">
      <c r="A581" s="13">
        <v>580</v>
      </c>
      <c r="B581" s="15" t="s">
        <v>1085</v>
      </c>
      <c r="C581" s="15" t="s">
        <v>1086</v>
      </c>
      <c r="D581" s="16" t="s">
        <v>1097</v>
      </c>
      <c r="E581" s="15"/>
      <c r="F581" s="16" t="s">
        <v>1098</v>
      </c>
      <c r="G581" s="17">
        <v>2.19</v>
      </c>
      <c r="H581" s="15" t="str">
        <f>_xlfn.DISPIMG("ID_DC0AED27B21B4C04A300F12E40069468",1)</f>
        <v>=DISPIMG("ID_DC0AED27B21B4C04A300F12E40069468",1)</v>
      </c>
    </row>
    <row r="582" s="2" customFormat="1" customHeight="1" spans="1:8">
      <c r="A582" s="13">
        <v>581</v>
      </c>
      <c r="B582" s="15" t="s">
        <v>1085</v>
      </c>
      <c r="C582" s="15" t="s">
        <v>1086</v>
      </c>
      <c r="D582" s="16" t="s">
        <v>1099</v>
      </c>
      <c r="E582" s="15"/>
      <c r="F582" s="16" t="s">
        <v>85</v>
      </c>
      <c r="G582" s="17">
        <v>2</v>
      </c>
      <c r="H582" s="15" t="str">
        <f>_xlfn.DISPIMG("ID_9C29175223CD45B6ADD1AFABBAB477E9",1)</f>
        <v>=DISPIMG("ID_9C29175223CD45B6ADD1AFABBAB477E9",1)</v>
      </c>
    </row>
    <row r="583" s="2" customFormat="1" customHeight="1" spans="1:8">
      <c r="A583" s="13">
        <v>582</v>
      </c>
      <c r="B583" s="15" t="s">
        <v>1085</v>
      </c>
      <c r="C583" s="15" t="s">
        <v>1086</v>
      </c>
      <c r="D583" s="16" t="s">
        <v>1100</v>
      </c>
      <c r="E583" s="15"/>
      <c r="F583" s="16" t="s">
        <v>1101</v>
      </c>
      <c r="G583" s="17">
        <v>3.98</v>
      </c>
      <c r="H583" s="15" t="str">
        <f>_xlfn.DISPIMG("ID_E74E2D726E804FA5A667A22A21882977",1)</f>
        <v>=DISPIMG("ID_E74E2D726E804FA5A667A22A21882977",1)</v>
      </c>
    </row>
    <row r="584" s="2" customFormat="1" customHeight="1" spans="1:8">
      <c r="A584" s="13">
        <v>583</v>
      </c>
      <c r="B584" s="15" t="s">
        <v>1085</v>
      </c>
      <c r="C584" s="15" t="s">
        <v>1086</v>
      </c>
      <c r="D584" s="16" t="s">
        <v>1102</v>
      </c>
      <c r="E584" s="16"/>
      <c r="F584" s="16" t="s">
        <v>85</v>
      </c>
      <c r="G584" s="25">
        <v>2.98</v>
      </c>
      <c r="H584" s="16" t="str">
        <f>_xlfn.DISPIMG("ID_47A15F41E96D4C1EB9B46BA454F6D549",1)</f>
        <v>=DISPIMG("ID_47A15F41E96D4C1EB9B46BA454F6D549",1)</v>
      </c>
    </row>
    <row r="585" s="2" customFormat="1" customHeight="1" spans="1:8">
      <c r="A585" s="13">
        <v>584</v>
      </c>
      <c r="B585" s="16" t="s">
        <v>1085</v>
      </c>
      <c r="C585" s="15" t="s">
        <v>1103</v>
      </c>
      <c r="D585" s="16" t="s">
        <v>1104</v>
      </c>
      <c r="E585" s="16"/>
      <c r="F585" s="16" t="s">
        <v>85</v>
      </c>
      <c r="G585" s="17">
        <v>6.49</v>
      </c>
      <c r="H585" s="15" t="str">
        <f>_xlfn.DISPIMG("ID_3CA55F4B40CD4FC8B02A3984D935C5C1",1)</f>
        <v>=DISPIMG("ID_3CA55F4B40CD4FC8B02A3984D935C5C1",1)</v>
      </c>
    </row>
    <row r="586" s="2" customFormat="1" customHeight="1" spans="1:8">
      <c r="A586" s="13">
        <v>585</v>
      </c>
      <c r="B586" s="15" t="s">
        <v>1085</v>
      </c>
      <c r="C586" s="15" t="s">
        <v>1103</v>
      </c>
      <c r="D586" s="16" t="s">
        <v>1105</v>
      </c>
      <c r="E586" s="15"/>
      <c r="F586" s="16" t="s">
        <v>1106</v>
      </c>
      <c r="G586" s="17">
        <v>5.99</v>
      </c>
      <c r="H586" s="15" t="str">
        <f>_xlfn.DISPIMG("ID_FDFE7808A2B745029A886B3509107BE9",1)</f>
        <v>=DISPIMG("ID_FDFE7808A2B745029A886B3509107BE9",1)</v>
      </c>
    </row>
    <row r="587" s="2" customFormat="1" customHeight="1" spans="1:8">
      <c r="A587" s="13">
        <v>586</v>
      </c>
      <c r="B587" s="15" t="s">
        <v>1107</v>
      </c>
      <c r="C587" s="15" t="s">
        <v>1103</v>
      </c>
      <c r="D587" s="16" t="s">
        <v>1108</v>
      </c>
      <c r="E587" s="15"/>
      <c r="F587" s="16" t="s">
        <v>85</v>
      </c>
      <c r="G587" s="17">
        <v>9</v>
      </c>
      <c r="H587" s="15"/>
    </row>
    <row r="588" s="2" customFormat="1" customHeight="1" spans="1:8">
      <c r="A588" s="13">
        <v>587</v>
      </c>
      <c r="B588" s="15" t="s">
        <v>1085</v>
      </c>
      <c r="C588" s="15" t="s">
        <v>1109</v>
      </c>
      <c r="D588" s="16" t="s">
        <v>1110</v>
      </c>
      <c r="E588" s="15"/>
      <c r="F588" s="16" t="s">
        <v>1111</v>
      </c>
      <c r="G588" s="17">
        <v>5</v>
      </c>
      <c r="H588" s="15" t="str">
        <f>_xlfn.DISPIMG("ID_7B38AF49E09840DFB7FE093DB8723020",1)</f>
        <v>=DISPIMG("ID_7B38AF49E09840DFB7FE093DB8723020",1)</v>
      </c>
    </row>
    <row r="589" s="2" customFormat="1" customHeight="1" spans="1:8">
      <c r="A589" s="13">
        <v>588</v>
      </c>
      <c r="B589" s="15" t="s">
        <v>1085</v>
      </c>
      <c r="C589" s="15" t="s">
        <v>1109</v>
      </c>
      <c r="D589" s="16" t="s">
        <v>1112</v>
      </c>
      <c r="E589" s="15"/>
      <c r="F589" s="16" t="s">
        <v>1113</v>
      </c>
      <c r="G589" s="17">
        <v>4</v>
      </c>
      <c r="H589" s="15" t="str">
        <f>_xlfn.DISPIMG("ID_AB36E3CFA9DF46ED9DEA89A26144E5C5",1)</f>
        <v>=DISPIMG("ID_AB36E3CFA9DF46ED9DEA89A26144E5C5",1)</v>
      </c>
    </row>
    <row r="590" s="2" customFormat="1" customHeight="1" spans="1:8">
      <c r="A590" s="13">
        <v>589</v>
      </c>
      <c r="B590" s="15" t="s">
        <v>1085</v>
      </c>
      <c r="C590" s="15" t="s">
        <v>1109</v>
      </c>
      <c r="D590" s="16" t="s">
        <v>1114</v>
      </c>
      <c r="E590" s="15"/>
      <c r="F590" s="16" t="s">
        <v>85</v>
      </c>
      <c r="G590" s="17">
        <v>10.3266666666667</v>
      </c>
      <c r="H590" s="15" t="str">
        <f>_xlfn.DISPIMG("ID_87545DCA454B4DE2A9A0D080832EB880",1)</f>
        <v>=DISPIMG("ID_87545DCA454B4DE2A9A0D080832EB880",1)</v>
      </c>
    </row>
    <row r="591" s="2" customFormat="1" customHeight="1" spans="1:8">
      <c r="A591" s="13">
        <v>590</v>
      </c>
      <c r="B591" s="15" t="s">
        <v>1085</v>
      </c>
      <c r="C591" s="15" t="s">
        <v>1109</v>
      </c>
      <c r="D591" s="16" t="s">
        <v>1115</v>
      </c>
      <c r="E591" s="15"/>
      <c r="F591" s="16" t="s">
        <v>1116</v>
      </c>
      <c r="G591" s="17">
        <v>5.85666666666667</v>
      </c>
      <c r="H591" s="15" t="str">
        <f>_xlfn.DISPIMG("ID_5D16B8BEA4A3463F9B9D22781D2C2049",1)</f>
        <v>=DISPIMG("ID_5D16B8BEA4A3463F9B9D22781D2C2049",1)</v>
      </c>
    </row>
    <row r="592" s="2" customFormat="1" customHeight="1" spans="1:8">
      <c r="A592" s="13">
        <v>591</v>
      </c>
      <c r="B592" s="15" t="s">
        <v>1085</v>
      </c>
      <c r="C592" s="15" t="s">
        <v>1109</v>
      </c>
      <c r="D592" s="16" t="s">
        <v>1117</v>
      </c>
      <c r="E592" s="15"/>
      <c r="F592" s="16" t="s">
        <v>85</v>
      </c>
      <c r="G592" s="17">
        <v>5</v>
      </c>
      <c r="H592" s="15" t="str">
        <f>_xlfn.DISPIMG("ID_7FDF907AFA1E48D89C5565EBEB5B8D02",1)</f>
        <v>=DISPIMG("ID_7FDF907AFA1E48D89C5565EBEB5B8D02",1)</v>
      </c>
    </row>
    <row r="593" s="2" customFormat="1" customHeight="1" spans="1:8">
      <c r="A593" s="13">
        <v>592</v>
      </c>
      <c r="B593" s="15" t="s">
        <v>1085</v>
      </c>
      <c r="C593" s="15" t="s">
        <v>1109</v>
      </c>
      <c r="D593" s="16" t="s">
        <v>1118</v>
      </c>
      <c r="E593" s="15"/>
      <c r="F593" s="16" t="s">
        <v>85</v>
      </c>
      <c r="G593" s="17">
        <v>4.8</v>
      </c>
      <c r="H593" s="15" t="str">
        <f>_xlfn.DISPIMG("ID_D6CF3B3B130D43F0BA3CB2A78227E1E6",1)</f>
        <v>=DISPIMG("ID_D6CF3B3B130D43F0BA3CB2A78227E1E6",1)</v>
      </c>
    </row>
    <row r="594" s="2" customFormat="1" customHeight="1" spans="1:8">
      <c r="A594" s="13">
        <v>593</v>
      </c>
      <c r="B594" s="15" t="s">
        <v>1085</v>
      </c>
      <c r="C594" s="15" t="s">
        <v>1109</v>
      </c>
      <c r="D594" s="16" t="s">
        <v>1118</v>
      </c>
      <c r="E594" s="15"/>
      <c r="F594" s="16" t="s">
        <v>1119</v>
      </c>
      <c r="G594" s="17">
        <v>44</v>
      </c>
      <c r="H594" s="15"/>
    </row>
    <row r="595" s="2" customFormat="1" customHeight="1" spans="1:8">
      <c r="A595" s="13">
        <v>594</v>
      </c>
      <c r="B595" s="15" t="s">
        <v>1085</v>
      </c>
      <c r="C595" s="15" t="s">
        <v>1109</v>
      </c>
      <c r="D595" s="16" t="s">
        <v>1120</v>
      </c>
      <c r="E595" s="15"/>
      <c r="F595" s="16" t="s">
        <v>1121</v>
      </c>
      <c r="G595" s="17">
        <v>4.99</v>
      </c>
      <c r="H595" s="15" t="str">
        <f>_xlfn.DISPIMG("ID_37CAE7B598B84B11AA80027BE155E3EE",1)</f>
        <v>=DISPIMG("ID_37CAE7B598B84B11AA80027BE155E3EE",1)</v>
      </c>
    </row>
    <row r="596" s="2" customFormat="1" customHeight="1" spans="1:8">
      <c r="A596" s="13">
        <v>595</v>
      </c>
      <c r="B596" s="15" t="s">
        <v>1085</v>
      </c>
      <c r="C596" s="15" t="s">
        <v>1109</v>
      </c>
      <c r="D596" s="16" t="s">
        <v>1122</v>
      </c>
      <c r="E596" s="15"/>
      <c r="F596" s="16" t="s">
        <v>85</v>
      </c>
      <c r="G596" s="17">
        <v>6.99</v>
      </c>
      <c r="H596" s="15" t="str">
        <f>_xlfn.DISPIMG("ID_E4E1F6F958E74FDDBFAD619F123B8870",1)</f>
        <v>=DISPIMG("ID_E4E1F6F958E74FDDBFAD619F123B8870",1)</v>
      </c>
    </row>
    <row r="597" s="2" customFormat="1" customHeight="1" spans="1:8">
      <c r="A597" s="13">
        <v>596</v>
      </c>
      <c r="B597" s="15" t="s">
        <v>1085</v>
      </c>
      <c r="C597" s="15" t="s">
        <v>1109</v>
      </c>
      <c r="D597" s="16" t="s">
        <v>1123</v>
      </c>
      <c r="E597" s="15"/>
      <c r="F597" s="16" t="s">
        <v>1124</v>
      </c>
      <c r="G597" s="17">
        <v>1.69333333333333</v>
      </c>
      <c r="H597" s="15" t="str">
        <f>_xlfn.DISPIMG("ID_22F8EDB8634E466E9B65F33DB56D1A49",1)</f>
        <v>=DISPIMG("ID_22F8EDB8634E466E9B65F33DB56D1A49",1)</v>
      </c>
    </row>
    <row r="598" s="2" customFormat="1" customHeight="1" spans="1:8">
      <c r="A598" s="13">
        <v>597</v>
      </c>
      <c r="B598" s="15" t="s">
        <v>1085</v>
      </c>
      <c r="C598" s="15" t="s">
        <v>1109</v>
      </c>
      <c r="D598" s="16" t="s">
        <v>1125</v>
      </c>
      <c r="E598" s="15"/>
      <c r="F598" s="16" t="s">
        <v>1126</v>
      </c>
      <c r="G598" s="17">
        <v>6</v>
      </c>
      <c r="H598" s="15" t="str">
        <f>_xlfn.DISPIMG("ID_9F0330FF2E1C4DAB8822D8B0603D3704",1)</f>
        <v>=DISPIMG("ID_9F0330FF2E1C4DAB8822D8B0603D3704",1)</v>
      </c>
    </row>
    <row r="599" s="2" customFormat="1" customHeight="1" spans="1:8">
      <c r="A599" s="13">
        <v>598</v>
      </c>
      <c r="B599" s="15" t="s">
        <v>1085</v>
      </c>
      <c r="C599" s="15" t="s">
        <v>1109</v>
      </c>
      <c r="D599" s="16" t="s">
        <v>1127</v>
      </c>
      <c r="E599" s="15"/>
      <c r="F599" s="16" t="s">
        <v>1128</v>
      </c>
      <c r="G599" s="17">
        <v>15</v>
      </c>
      <c r="H599" s="15" t="str">
        <f>_xlfn.DISPIMG("ID_9C4650D0D7194889892A13E57A93082D",1)</f>
        <v>=DISPIMG("ID_9C4650D0D7194889892A13E57A93082D",1)</v>
      </c>
    </row>
    <row r="600" s="2" customFormat="1" customHeight="1" spans="1:8">
      <c r="A600" s="13">
        <v>599</v>
      </c>
      <c r="B600" s="15" t="s">
        <v>1085</v>
      </c>
      <c r="C600" s="15" t="s">
        <v>1109</v>
      </c>
      <c r="D600" s="16" t="s">
        <v>1129</v>
      </c>
      <c r="E600" s="15"/>
      <c r="F600" s="16" t="s">
        <v>85</v>
      </c>
      <c r="G600" s="17">
        <v>4.8</v>
      </c>
      <c r="H600" s="15" t="str">
        <f>_xlfn.DISPIMG("ID_27F2524A9084450DB5F1C76D64A8A03E",1)</f>
        <v>=DISPIMG("ID_27F2524A9084450DB5F1C76D64A8A03E",1)</v>
      </c>
    </row>
    <row r="601" s="2" customFormat="1" customHeight="1" spans="1:8">
      <c r="A601" s="13">
        <v>600</v>
      </c>
      <c r="B601" s="15" t="s">
        <v>1085</v>
      </c>
      <c r="C601" s="15" t="s">
        <v>1109</v>
      </c>
      <c r="D601" s="16" t="s">
        <v>1130</v>
      </c>
      <c r="E601" s="15"/>
      <c r="F601" s="16" t="s">
        <v>1131</v>
      </c>
      <c r="G601" s="17">
        <v>8.99</v>
      </c>
      <c r="H601" s="15" t="str">
        <f>_xlfn.DISPIMG("ID_3BCA5D438E7D43039E0881841AC25DE4",1)</f>
        <v>=DISPIMG("ID_3BCA5D438E7D43039E0881841AC25DE4",1)</v>
      </c>
    </row>
    <row r="602" s="2" customFormat="1" customHeight="1" spans="1:8">
      <c r="A602" s="13">
        <v>601</v>
      </c>
      <c r="B602" s="15" t="s">
        <v>1085</v>
      </c>
      <c r="C602" s="15" t="s">
        <v>1132</v>
      </c>
      <c r="D602" s="16" t="s">
        <v>1133</v>
      </c>
      <c r="E602" s="15"/>
      <c r="F602" s="16" t="s">
        <v>1134</v>
      </c>
      <c r="G602" s="17">
        <v>2</v>
      </c>
      <c r="H602" s="15" t="str">
        <f>_xlfn.DISPIMG("ID_2A7729A23D494333BD1C50FA43C376B0",1)</f>
        <v>=DISPIMG("ID_2A7729A23D494333BD1C50FA43C376B0",1)</v>
      </c>
    </row>
    <row r="603" s="2" customFormat="1" customHeight="1" spans="1:8">
      <c r="A603" s="13">
        <v>602</v>
      </c>
      <c r="B603" s="15" t="s">
        <v>1085</v>
      </c>
      <c r="C603" s="15" t="s">
        <v>1132</v>
      </c>
      <c r="D603" s="16" t="s">
        <v>1135</v>
      </c>
      <c r="E603" s="15"/>
      <c r="F603" s="16" t="s">
        <v>1136</v>
      </c>
      <c r="G603" s="17">
        <v>2.75666666666667</v>
      </c>
      <c r="H603" s="15" t="str">
        <f>_xlfn.DISPIMG("ID_40E86BD9A1314CBB8F8D84B0D055F0F2",1)</f>
        <v>=DISPIMG("ID_40E86BD9A1314CBB8F8D84B0D055F0F2",1)</v>
      </c>
    </row>
    <row r="604" s="2" customFormat="1" customHeight="1" spans="1:8">
      <c r="A604" s="13">
        <v>603</v>
      </c>
      <c r="B604" s="15" t="s">
        <v>1085</v>
      </c>
      <c r="C604" s="15" t="s">
        <v>1132</v>
      </c>
      <c r="D604" s="16" t="s">
        <v>1137</v>
      </c>
      <c r="E604" s="15"/>
      <c r="F604" s="16" t="s">
        <v>1138</v>
      </c>
      <c r="G604" s="17">
        <v>4.32333333333333</v>
      </c>
      <c r="H604" s="15" t="str">
        <f>_xlfn.DISPIMG("ID_169E570C56744E49BA879A39250AB38D",1)</f>
        <v>=DISPIMG("ID_169E570C56744E49BA879A39250AB38D",1)</v>
      </c>
    </row>
    <row r="605" s="5" customFormat="1" customHeight="1" spans="1:8">
      <c r="A605" s="13">
        <v>604</v>
      </c>
      <c r="B605" s="26" t="s">
        <v>1107</v>
      </c>
      <c r="C605" s="26" t="s">
        <v>1132</v>
      </c>
      <c r="D605" s="27" t="s">
        <v>1139</v>
      </c>
      <c r="E605" s="26"/>
      <c r="F605" s="27" t="s">
        <v>85</v>
      </c>
      <c r="G605" s="28">
        <v>4.58</v>
      </c>
      <c r="H605" s="26"/>
    </row>
    <row r="606" s="2" customFormat="1" customHeight="1" spans="1:8">
      <c r="A606" s="13">
        <v>605</v>
      </c>
      <c r="B606" s="15" t="s">
        <v>1085</v>
      </c>
      <c r="C606" s="15" t="s">
        <v>1140</v>
      </c>
      <c r="D606" s="16" t="s">
        <v>1141</v>
      </c>
      <c r="E606" s="15"/>
      <c r="F606" s="16" t="s">
        <v>85</v>
      </c>
      <c r="G606" s="17">
        <v>2.98</v>
      </c>
      <c r="H606" s="15" t="str">
        <f>_xlfn.DISPIMG("ID_93C7921AE65F4F41B96F579FA2A22B2B",1)</f>
        <v>=DISPIMG("ID_93C7921AE65F4F41B96F579FA2A22B2B",1)</v>
      </c>
    </row>
    <row r="607" s="2" customFormat="1" customHeight="1" spans="1:8">
      <c r="A607" s="13">
        <v>606</v>
      </c>
      <c r="B607" s="15" t="s">
        <v>1085</v>
      </c>
      <c r="C607" s="15" t="s">
        <v>1140</v>
      </c>
      <c r="D607" s="16" t="s">
        <v>1142</v>
      </c>
      <c r="E607" s="15"/>
      <c r="F607" s="16" t="s">
        <v>1143</v>
      </c>
      <c r="G607" s="17">
        <v>4</v>
      </c>
      <c r="H607" s="15" t="str">
        <f>_xlfn.DISPIMG("ID_E39F2F5F0EB04E2EB88B3EADDEFC1D56",1)</f>
        <v>=DISPIMG("ID_E39F2F5F0EB04E2EB88B3EADDEFC1D56",1)</v>
      </c>
    </row>
    <row r="608" s="2" customFormat="1" customHeight="1" spans="1:8">
      <c r="A608" s="13">
        <v>607</v>
      </c>
      <c r="B608" s="15" t="s">
        <v>1085</v>
      </c>
      <c r="C608" s="15" t="s">
        <v>1140</v>
      </c>
      <c r="D608" s="16" t="s">
        <v>1144</v>
      </c>
      <c r="E608" s="15"/>
      <c r="F608" s="16" t="s">
        <v>1145</v>
      </c>
      <c r="G608" s="17">
        <v>2.88</v>
      </c>
      <c r="H608" s="15" t="str">
        <f>_xlfn.DISPIMG("ID_C301F277BE804E23AD21A6912E26A183",1)</f>
        <v>=DISPIMG("ID_C301F277BE804E23AD21A6912E26A183",1)</v>
      </c>
    </row>
    <row r="609" s="2" customFormat="1" customHeight="1" spans="1:8">
      <c r="A609" s="13">
        <v>608</v>
      </c>
      <c r="B609" s="15" t="s">
        <v>1085</v>
      </c>
      <c r="C609" s="15" t="s">
        <v>1140</v>
      </c>
      <c r="D609" s="16" t="s">
        <v>1146</v>
      </c>
      <c r="E609" s="15"/>
      <c r="F609" s="16" t="s">
        <v>1147</v>
      </c>
      <c r="G609" s="17">
        <v>0.99</v>
      </c>
      <c r="H609" s="15" t="str">
        <f>_xlfn.DISPIMG("ID_CCB88DA5B41049C2BF836046B8F24FE0",1)</f>
        <v>=DISPIMG("ID_CCB88DA5B41049C2BF836046B8F24FE0",1)</v>
      </c>
    </row>
    <row r="610" s="5" customFormat="1" customHeight="1" spans="1:8">
      <c r="A610" s="13">
        <v>609</v>
      </c>
      <c r="B610" s="26" t="s">
        <v>1107</v>
      </c>
      <c r="C610" s="26" t="s">
        <v>1140</v>
      </c>
      <c r="D610" s="27" t="s">
        <v>1148</v>
      </c>
      <c r="E610" s="26"/>
      <c r="F610" s="48" t="s">
        <v>666</v>
      </c>
      <c r="G610" s="28">
        <v>15.9</v>
      </c>
      <c r="H610" s="26"/>
    </row>
    <row r="611" s="2" customFormat="1" customHeight="1" spans="1:8">
      <c r="A611" s="13">
        <v>610</v>
      </c>
      <c r="B611" s="15" t="s">
        <v>1085</v>
      </c>
      <c r="C611" s="15" t="s">
        <v>1149</v>
      </c>
      <c r="D611" s="16" t="s">
        <v>1150</v>
      </c>
      <c r="E611" s="15"/>
      <c r="F611" s="49" t="s">
        <v>1151</v>
      </c>
      <c r="G611" s="17">
        <v>5.495</v>
      </c>
      <c r="H611" s="15" t="str">
        <f>_xlfn.DISPIMG("ID_28EB118CF7A143B5AB4A26639CF699E4",1)</f>
        <v>=DISPIMG("ID_28EB118CF7A143B5AB4A26639CF699E4",1)</v>
      </c>
    </row>
    <row r="612" s="2" customFormat="1" customHeight="1" spans="1:8">
      <c r="A612" s="13">
        <v>611</v>
      </c>
      <c r="B612" s="15" t="s">
        <v>1085</v>
      </c>
      <c r="C612" s="15" t="s">
        <v>1149</v>
      </c>
      <c r="D612" s="16" t="s">
        <v>1152</v>
      </c>
      <c r="E612" s="16"/>
      <c r="F612" s="16" t="s">
        <v>85</v>
      </c>
      <c r="G612" s="25">
        <v>4.3</v>
      </c>
      <c r="H612" s="16" t="str">
        <f>_xlfn.DISPIMG("ID_BFA87998717F41C6A6BD73C0113C1A22",1)</f>
        <v>=DISPIMG("ID_BFA87998717F41C6A6BD73C0113C1A22",1)</v>
      </c>
    </row>
    <row r="613" s="2" customFormat="1" customHeight="1" spans="1:8">
      <c r="A613" s="13">
        <v>612</v>
      </c>
      <c r="B613" s="15" t="s">
        <v>1085</v>
      </c>
      <c r="C613" s="15" t="s">
        <v>1149</v>
      </c>
      <c r="D613" s="16" t="s">
        <v>1153</v>
      </c>
      <c r="E613" s="15"/>
      <c r="F613" s="49" t="s">
        <v>1154</v>
      </c>
      <c r="G613" s="17">
        <v>6</v>
      </c>
      <c r="H613" s="15" t="str">
        <f>_xlfn.DISPIMG("ID_5F66920A795E4502A29F0D5545E6B267",1)</f>
        <v>=DISPIMG("ID_5F66920A795E4502A29F0D5545E6B267",1)</v>
      </c>
    </row>
    <row r="614" s="2" customFormat="1" customHeight="1" spans="1:8">
      <c r="A614" s="13">
        <v>613</v>
      </c>
      <c r="B614" s="15" t="s">
        <v>1085</v>
      </c>
      <c r="C614" s="15" t="s">
        <v>1149</v>
      </c>
      <c r="D614" s="16" t="s">
        <v>1155</v>
      </c>
      <c r="E614" s="15"/>
      <c r="F614" s="49" t="s">
        <v>1156</v>
      </c>
      <c r="G614" s="17">
        <v>2.6</v>
      </c>
      <c r="H614" s="15" t="str">
        <f>_xlfn.DISPIMG("ID_6536396A8C11404AA5F75EABE5148EE0",1)</f>
        <v>=DISPIMG("ID_6536396A8C11404AA5F75EABE5148EE0",1)</v>
      </c>
    </row>
    <row r="615" s="2" customFormat="1" customHeight="1" spans="1:8">
      <c r="A615" s="13">
        <v>614</v>
      </c>
      <c r="B615" s="15" t="s">
        <v>1085</v>
      </c>
      <c r="C615" s="15" t="s">
        <v>1149</v>
      </c>
      <c r="D615" s="16" t="s">
        <v>1157</v>
      </c>
      <c r="E615" s="15"/>
      <c r="F615" s="49" t="s">
        <v>1158</v>
      </c>
      <c r="G615" s="17">
        <v>6</v>
      </c>
      <c r="H615" s="15" t="str">
        <f>_xlfn.DISPIMG("ID_30ED3D76913A491399461AF25036F53B",1)</f>
        <v>=DISPIMG("ID_30ED3D76913A491399461AF25036F53B",1)</v>
      </c>
    </row>
    <row r="616" s="2" customFormat="1" customHeight="1" spans="1:8">
      <c r="A616" s="13">
        <v>615</v>
      </c>
      <c r="B616" s="15" t="s">
        <v>1085</v>
      </c>
      <c r="C616" s="15" t="s">
        <v>1149</v>
      </c>
      <c r="D616" s="16" t="s">
        <v>1159</v>
      </c>
      <c r="E616" s="15"/>
      <c r="F616" s="49" t="s">
        <v>1160</v>
      </c>
      <c r="G616" s="17">
        <v>2.6</v>
      </c>
      <c r="H616" s="15" t="str">
        <f>_xlfn.DISPIMG("ID_CDA765D8079948798A0FE1BAC0DFF98E",1)</f>
        <v>=DISPIMG("ID_CDA765D8079948798A0FE1BAC0DFF98E",1)</v>
      </c>
    </row>
    <row r="617" s="2" customFormat="1" customHeight="1" spans="1:8">
      <c r="A617" s="13">
        <v>616</v>
      </c>
      <c r="B617" s="15" t="s">
        <v>1085</v>
      </c>
      <c r="C617" s="15" t="s">
        <v>1149</v>
      </c>
      <c r="D617" s="16" t="s">
        <v>1161</v>
      </c>
      <c r="E617" s="15"/>
      <c r="F617" s="49" t="s">
        <v>1162</v>
      </c>
      <c r="G617" s="17">
        <v>3.65333333333333</v>
      </c>
      <c r="H617" s="15" t="str">
        <f>_xlfn.DISPIMG("ID_97222DDBFD8C4EB69723FBB3F15FBD8F",1)</f>
        <v>=DISPIMG("ID_97222DDBFD8C4EB69723FBB3F15FBD8F",1)</v>
      </c>
    </row>
    <row r="618" s="2" customFormat="1" customHeight="1" spans="1:8">
      <c r="A618" s="13">
        <v>617</v>
      </c>
      <c r="B618" s="15" t="s">
        <v>1085</v>
      </c>
      <c r="C618" s="15" t="s">
        <v>1149</v>
      </c>
      <c r="D618" s="16" t="s">
        <v>1163</v>
      </c>
      <c r="E618" s="15"/>
      <c r="F618" s="49" t="s">
        <v>1164</v>
      </c>
      <c r="G618" s="17">
        <v>2.98</v>
      </c>
      <c r="H618" s="15" t="str">
        <f>_xlfn.DISPIMG("ID_BF2B85AEEB864F8F80F2D8E04797BC24",1)</f>
        <v>=DISPIMG("ID_BF2B85AEEB864F8F80F2D8E04797BC24",1)</v>
      </c>
    </row>
    <row r="619" s="2" customFormat="1" customHeight="1" spans="1:8">
      <c r="A619" s="13">
        <v>618</v>
      </c>
      <c r="B619" s="15" t="s">
        <v>1085</v>
      </c>
      <c r="C619" s="15" t="s">
        <v>1165</v>
      </c>
      <c r="D619" s="16" t="s">
        <v>1166</v>
      </c>
      <c r="E619" s="15"/>
      <c r="F619" s="49" t="s">
        <v>1167</v>
      </c>
      <c r="G619" s="17">
        <v>2.98</v>
      </c>
      <c r="H619" s="15" t="str">
        <f>_xlfn.DISPIMG("ID_741CCD58C3AD4C0DA7138F6395C89871",1)</f>
        <v>=DISPIMG("ID_741CCD58C3AD4C0DA7138F6395C89871",1)</v>
      </c>
    </row>
    <row r="620" s="2" customFormat="1" customHeight="1" spans="1:8">
      <c r="A620" s="13">
        <v>619</v>
      </c>
      <c r="B620" s="15" t="s">
        <v>1085</v>
      </c>
      <c r="C620" s="15" t="s">
        <v>1168</v>
      </c>
      <c r="D620" s="16" t="s">
        <v>1169</v>
      </c>
      <c r="E620" s="15"/>
      <c r="F620" s="16" t="s">
        <v>1170</v>
      </c>
      <c r="G620" s="17">
        <v>2</v>
      </c>
      <c r="H620" s="15" t="str">
        <f>_xlfn.DISPIMG("ID_9BDE9C76F8CC427FAE7956BD87D72960",1)</f>
        <v>=DISPIMG("ID_9BDE9C76F8CC427FAE7956BD87D72960",1)</v>
      </c>
    </row>
    <row r="621" s="2" customFormat="1" customHeight="1" spans="1:8">
      <c r="A621" s="13">
        <v>620</v>
      </c>
      <c r="B621" s="15" t="s">
        <v>1085</v>
      </c>
      <c r="C621" s="15" t="s">
        <v>1168</v>
      </c>
      <c r="D621" s="16" t="s">
        <v>1171</v>
      </c>
      <c r="E621" s="15"/>
      <c r="F621" s="16" t="s">
        <v>1172</v>
      </c>
      <c r="G621" s="17">
        <v>1.6</v>
      </c>
      <c r="H621" s="15" t="str">
        <f>_xlfn.DISPIMG("ID_7E0883148D764938A1E934C5C4540558",1)</f>
        <v>=DISPIMG("ID_7E0883148D764938A1E934C5C4540558",1)</v>
      </c>
    </row>
    <row r="622" s="2" customFormat="1" customHeight="1" spans="1:8">
      <c r="A622" s="13">
        <v>621</v>
      </c>
      <c r="B622" s="15" t="s">
        <v>1085</v>
      </c>
      <c r="C622" s="15" t="s">
        <v>1168</v>
      </c>
      <c r="D622" s="16" t="s">
        <v>1173</v>
      </c>
      <c r="E622" s="15"/>
      <c r="F622" s="16" t="s">
        <v>1174</v>
      </c>
      <c r="G622" s="17">
        <v>1.9</v>
      </c>
      <c r="H622" s="15" t="str">
        <f>_xlfn.DISPIMG("ID_F5B261BB74684BEAA900742FC0889293",1)</f>
        <v>=DISPIMG("ID_F5B261BB74684BEAA900742FC0889293",1)</v>
      </c>
    </row>
    <row r="623" s="2" customFormat="1" customHeight="1" spans="1:8">
      <c r="A623" s="13">
        <v>622</v>
      </c>
      <c r="B623" s="15" t="s">
        <v>1085</v>
      </c>
      <c r="C623" s="15" t="s">
        <v>1175</v>
      </c>
      <c r="D623" s="16" t="s">
        <v>1176</v>
      </c>
      <c r="E623" s="16"/>
      <c r="F623" s="16" t="s">
        <v>85</v>
      </c>
      <c r="G623" s="25">
        <v>9.5</v>
      </c>
      <c r="H623" s="16" t="str">
        <f>_xlfn.DISPIMG("ID_CB7A2B46120C47A48BD97E4B3C000605",1)</f>
        <v>=DISPIMG("ID_CB7A2B46120C47A48BD97E4B3C000605",1)</v>
      </c>
    </row>
    <row r="624" s="2" customFormat="1" customHeight="1" spans="1:8">
      <c r="A624" s="13">
        <v>623</v>
      </c>
      <c r="B624" s="15" t="s">
        <v>1085</v>
      </c>
      <c r="C624" s="15" t="s">
        <v>1175</v>
      </c>
      <c r="D624" s="16" t="s">
        <v>1177</v>
      </c>
      <c r="E624" s="15"/>
      <c r="F624" s="49" t="s">
        <v>1178</v>
      </c>
      <c r="G624" s="17">
        <v>5.5</v>
      </c>
      <c r="H624" s="15" t="str">
        <f>_xlfn.DISPIMG("ID_97CB50B517B742E0A496869AE22B5B66",1)</f>
        <v>=DISPIMG("ID_97CB50B517B742E0A496869AE22B5B66",1)</v>
      </c>
    </row>
    <row r="625" s="2" customFormat="1" customHeight="1" spans="1:8">
      <c r="A625" s="13">
        <v>624</v>
      </c>
      <c r="B625" s="15" t="s">
        <v>1085</v>
      </c>
      <c r="C625" s="15" t="s">
        <v>1175</v>
      </c>
      <c r="D625" s="15" t="s">
        <v>1179</v>
      </c>
      <c r="E625" s="16"/>
      <c r="F625" s="16" t="s">
        <v>85</v>
      </c>
      <c r="G625" s="17">
        <v>6.98</v>
      </c>
      <c r="H625" s="15" t="str">
        <f>_xlfn.DISPIMG("ID_654EAB24B399410B83938B64CB77FE6E",1)</f>
        <v>=DISPIMG("ID_654EAB24B399410B83938B64CB77FE6E",1)</v>
      </c>
    </row>
    <row r="626" s="2" customFormat="1" customHeight="1" spans="1:8">
      <c r="A626" s="13">
        <v>625</v>
      </c>
      <c r="B626" s="15" t="s">
        <v>1085</v>
      </c>
      <c r="C626" s="15" t="s">
        <v>1175</v>
      </c>
      <c r="D626" s="16" t="s">
        <v>1180</v>
      </c>
      <c r="E626" s="15"/>
      <c r="F626" s="49" t="s">
        <v>1181</v>
      </c>
      <c r="G626" s="17">
        <v>7.59666666666667</v>
      </c>
      <c r="H626" s="15" t="str">
        <f>_xlfn.DISPIMG("ID_751D9D679F2D48B2B8CC364D6A75FAB0",1)</f>
        <v>=DISPIMG("ID_751D9D679F2D48B2B8CC364D6A75FAB0",1)</v>
      </c>
    </row>
    <row r="627" s="2" customFormat="1" customHeight="1" spans="1:8">
      <c r="A627" s="13">
        <v>626</v>
      </c>
      <c r="B627" s="15" t="s">
        <v>1085</v>
      </c>
      <c r="C627" s="15" t="s">
        <v>1175</v>
      </c>
      <c r="D627" s="16" t="s">
        <v>1182</v>
      </c>
      <c r="E627" s="15"/>
      <c r="F627" s="49" t="s">
        <v>1183</v>
      </c>
      <c r="G627" s="17">
        <v>4.76</v>
      </c>
      <c r="H627" s="15" t="str">
        <f>_xlfn.DISPIMG("ID_5FD0BDD8AF2A45C2A680CDF1D3B4BACB",1)</f>
        <v>=DISPIMG("ID_5FD0BDD8AF2A45C2A680CDF1D3B4BACB",1)</v>
      </c>
    </row>
    <row r="628" s="2" customFormat="1" customHeight="1" spans="1:8">
      <c r="A628" s="13">
        <v>627</v>
      </c>
      <c r="B628" s="15" t="s">
        <v>1085</v>
      </c>
      <c r="C628" s="15" t="s">
        <v>1175</v>
      </c>
      <c r="D628" s="16" t="s">
        <v>1184</v>
      </c>
      <c r="E628" s="15"/>
      <c r="F628" s="49" t="s">
        <v>1185</v>
      </c>
      <c r="G628" s="17">
        <v>3.5</v>
      </c>
      <c r="H628" s="15" t="str">
        <f>_xlfn.DISPIMG("ID_06170B4F58FC461B89838758F45BC732",1)</f>
        <v>=DISPIMG("ID_06170B4F58FC461B89838758F45BC732",1)</v>
      </c>
    </row>
    <row r="629" s="2" customFormat="1" customHeight="1" spans="1:8">
      <c r="A629" s="13">
        <v>628</v>
      </c>
      <c r="B629" s="15" t="s">
        <v>1085</v>
      </c>
      <c r="C629" s="15" t="s">
        <v>1175</v>
      </c>
      <c r="D629" s="16" t="s">
        <v>1186</v>
      </c>
      <c r="E629" s="15"/>
      <c r="F629" s="49" t="s">
        <v>1187</v>
      </c>
      <c r="G629" s="17">
        <v>3.5</v>
      </c>
      <c r="H629" s="15" t="str">
        <f>_xlfn.DISPIMG("ID_78F33971E4F7402B876A5399263E0D00",1)</f>
        <v>=DISPIMG("ID_78F33971E4F7402B876A5399263E0D00",1)</v>
      </c>
    </row>
    <row r="630" s="2" customFormat="1" customHeight="1" spans="1:8">
      <c r="A630" s="13">
        <v>629</v>
      </c>
      <c r="B630" s="15" t="s">
        <v>1085</v>
      </c>
      <c r="C630" s="15" t="s">
        <v>1175</v>
      </c>
      <c r="D630" s="16" t="s">
        <v>1188</v>
      </c>
      <c r="E630" s="15"/>
      <c r="F630" s="49" t="s">
        <v>1189</v>
      </c>
      <c r="G630" s="17">
        <v>4.5</v>
      </c>
      <c r="H630" s="15" t="str">
        <f>_xlfn.DISPIMG("ID_3612E03F6E1C409287AC81D9B497ACEB",1)</f>
        <v>=DISPIMG("ID_3612E03F6E1C409287AC81D9B497ACEB",1)</v>
      </c>
    </row>
    <row r="631" s="2" customFormat="1" customHeight="1" spans="1:8">
      <c r="A631" s="13">
        <v>630</v>
      </c>
      <c r="B631" s="15" t="s">
        <v>1085</v>
      </c>
      <c r="C631" s="15" t="s">
        <v>1175</v>
      </c>
      <c r="D631" s="16" t="s">
        <v>1190</v>
      </c>
      <c r="E631" s="15"/>
      <c r="F631" s="16" t="s">
        <v>1191</v>
      </c>
      <c r="G631" s="17">
        <v>3.7</v>
      </c>
      <c r="H631" s="15" t="str">
        <f>_xlfn.DISPIMG("ID_FAB45CC1FCBF4BBBA8B98547A1A5AF8D",1)</f>
        <v>=DISPIMG("ID_FAB45CC1FCBF4BBBA8B98547A1A5AF8D",1)</v>
      </c>
    </row>
    <row r="632" s="2" customFormat="1" customHeight="1" spans="1:8">
      <c r="A632" s="13">
        <v>631</v>
      </c>
      <c r="B632" s="15" t="s">
        <v>1085</v>
      </c>
      <c r="C632" s="15" t="s">
        <v>1175</v>
      </c>
      <c r="D632" s="16" t="s">
        <v>1192</v>
      </c>
      <c r="E632" s="15"/>
      <c r="F632" s="49" t="s">
        <v>1193</v>
      </c>
      <c r="G632" s="17">
        <v>4.495</v>
      </c>
      <c r="H632" s="15" t="str">
        <f>_xlfn.DISPIMG("ID_CF9A262DFA1D4BD88B4B60C567B77D02",1)</f>
        <v>=DISPIMG("ID_CF9A262DFA1D4BD88B4B60C567B77D02",1)</v>
      </c>
    </row>
    <row r="633" s="5" customFormat="1" customHeight="1" spans="1:8">
      <c r="A633" s="13">
        <v>632</v>
      </c>
      <c r="B633" s="26" t="s">
        <v>1107</v>
      </c>
      <c r="C633" s="26" t="s">
        <v>1175</v>
      </c>
      <c r="D633" s="26" t="s">
        <v>1194</v>
      </c>
      <c r="E633" s="26"/>
      <c r="F633" s="27" t="s">
        <v>85</v>
      </c>
      <c r="G633" s="28">
        <v>15.8</v>
      </c>
      <c r="H633" s="26"/>
    </row>
    <row r="634" s="2" customFormat="1" customHeight="1" spans="1:8">
      <c r="A634" s="13">
        <v>633</v>
      </c>
      <c r="B634" s="15" t="s">
        <v>1085</v>
      </c>
      <c r="C634" s="15" t="s">
        <v>1195</v>
      </c>
      <c r="D634" s="15" t="s">
        <v>1196</v>
      </c>
      <c r="E634" s="15"/>
      <c r="F634" s="16" t="s">
        <v>85</v>
      </c>
      <c r="G634" s="17">
        <v>10.995</v>
      </c>
      <c r="H634" s="15" t="str">
        <f>_xlfn.DISPIMG("ID_368A5ECF834B41CDA199F6E55C798FD0",1)</f>
        <v>=DISPIMG("ID_368A5ECF834B41CDA199F6E55C798FD0",1)</v>
      </c>
    </row>
    <row r="635" s="2" customFormat="1" customHeight="1" spans="1:8">
      <c r="A635" s="13">
        <v>634</v>
      </c>
      <c r="B635" s="15" t="s">
        <v>1085</v>
      </c>
      <c r="C635" s="15" t="s">
        <v>1195</v>
      </c>
      <c r="D635" s="15" t="s">
        <v>1197</v>
      </c>
      <c r="E635" s="15"/>
      <c r="F635" s="16" t="s">
        <v>85</v>
      </c>
      <c r="G635" s="17">
        <v>12.8</v>
      </c>
      <c r="H635" s="15" t="str">
        <f>_xlfn.DISPIMG("ID_AB64E619DE0F4B30A2633D6BC8D4AFD3",1)</f>
        <v>=DISPIMG("ID_AB64E619DE0F4B30A2633D6BC8D4AFD3",1)</v>
      </c>
    </row>
    <row r="636" s="2" customFormat="1" customHeight="1" spans="1:8">
      <c r="A636" s="13">
        <v>635</v>
      </c>
      <c r="B636" s="15" t="s">
        <v>1085</v>
      </c>
      <c r="C636" s="15" t="s">
        <v>1195</v>
      </c>
      <c r="D636" s="16" t="s">
        <v>1198</v>
      </c>
      <c r="E636" s="15"/>
      <c r="F636" s="16" t="s">
        <v>1199</v>
      </c>
      <c r="G636" s="17">
        <v>9.8</v>
      </c>
      <c r="H636" s="15" t="str">
        <f>_xlfn.DISPIMG("ID_50762542109645AD86280406C36C25F6",1)</f>
        <v>=DISPIMG("ID_50762542109645AD86280406C36C25F6",1)</v>
      </c>
    </row>
    <row r="637" s="2" customFormat="1" customHeight="1" spans="1:8">
      <c r="A637" s="13">
        <v>636</v>
      </c>
      <c r="B637" s="15" t="s">
        <v>1085</v>
      </c>
      <c r="C637" s="15" t="s">
        <v>1195</v>
      </c>
      <c r="D637" s="16" t="s">
        <v>1200</v>
      </c>
      <c r="E637" s="15"/>
      <c r="F637" s="16" t="s">
        <v>1201</v>
      </c>
      <c r="G637" s="17">
        <v>8.82666666666667</v>
      </c>
      <c r="H637" s="15" t="str">
        <f>_xlfn.DISPIMG("ID_A107D428639C4296891ADB48396FB0C2",1)</f>
        <v>=DISPIMG("ID_A107D428639C4296891ADB48396FB0C2",1)</v>
      </c>
    </row>
    <row r="638" s="2" customFormat="1" customHeight="1" spans="1:8">
      <c r="A638" s="13">
        <v>637</v>
      </c>
      <c r="B638" s="15" t="s">
        <v>1085</v>
      </c>
      <c r="C638" s="15" t="s">
        <v>1195</v>
      </c>
      <c r="D638" s="16" t="s">
        <v>1202</v>
      </c>
      <c r="E638" s="15"/>
      <c r="F638" s="16" t="s">
        <v>85</v>
      </c>
      <c r="G638" s="17">
        <v>10.4</v>
      </c>
      <c r="H638" s="15" t="str">
        <f>_xlfn.DISPIMG("ID_2C807588CE8E4CC3B40DA9E3E7F93D2C",1)</f>
        <v>=DISPIMG("ID_2C807588CE8E4CC3B40DA9E3E7F93D2C",1)</v>
      </c>
    </row>
    <row r="639" s="2" customFormat="1" customHeight="1" spans="1:8">
      <c r="A639" s="13">
        <v>638</v>
      </c>
      <c r="B639" s="15" t="s">
        <v>1085</v>
      </c>
      <c r="C639" s="15" t="s">
        <v>1195</v>
      </c>
      <c r="D639" s="16" t="s">
        <v>1203</v>
      </c>
      <c r="E639" s="15"/>
      <c r="F639" s="16" t="s">
        <v>1204</v>
      </c>
      <c r="G639" s="17">
        <v>7.59333333333333</v>
      </c>
      <c r="H639" s="15" t="str">
        <f>_xlfn.DISPIMG("ID_E4EC0C07447E4DD085E66F2ECBA7759C",1)</f>
        <v>=DISPIMG("ID_E4EC0C07447E4DD085E66F2ECBA7759C",1)</v>
      </c>
    </row>
    <row r="640" s="2" customFormat="1" customHeight="1" spans="1:8">
      <c r="A640" s="13">
        <v>639</v>
      </c>
      <c r="B640" s="15" t="s">
        <v>1085</v>
      </c>
      <c r="C640" s="15" t="s">
        <v>1195</v>
      </c>
      <c r="D640" s="16" t="s">
        <v>1205</v>
      </c>
      <c r="E640" s="15"/>
      <c r="F640" s="16" t="s">
        <v>1206</v>
      </c>
      <c r="G640" s="17">
        <v>4.98</v>
      </c>
      <c r="H640" s="15" t="str">
        <f>_xlfn.DISPIMG("ID_5B3303B0B93844DE9A70FE8EA6B1F86D",1)</f>
        <v>=DISPIMG("ID_5B3303B0B93844DE9A70FE8EA6B1F86D",1)</v>
      </c>
    </row>
    <row r="641" s="2" customFormat="1" customHeight="1" spans="1:8">
      <c r="A641" s="13">
        <v>640</v>
      </c>
      <c r="B641" s="15" t="s">
        <v>1085</v>
      </c>
      <c r="C641" s="15" t="s">
        <v>1195</v>
      </c>
      <c r="D641" s="16" t="s">
        <v>1207</v>
      </c>
      <c r="E641" s="15"/>
      <c r="F641" s="16" t="s">
        <v>1208</v>
      </c>
      <c r="G641" s="17">
        <v>6.98</v>
      </c>
      <c r="H641" s="15" t="str">
        <f>_xlfn.DISPIMG("ID_356102BDEA654751A2DBB651D8FBF56E",1)</f>
        <v>=DISPIMG("ID_356102BDEA654751A2DBB651D8FBF56E",1)</v>
      </c>
    </row>
    <row r="642" s="2" customFormat="1" customHeight="1" spans="1:8">
      <c r="A642" s="13">
        <v>641</v>
      </c>
      <c r="B642" s="15" t="s">
        <v>1085</v>
      </c>
      <c r="C642" s="15" t="s">
        <v>1195</v>
      </c>
      <c r="D642" s="16" t="s">
        <v>1209</v>
      </c>
      <c r="E642" s="15"/>
      <c r="F642" s="16" t="s">
        <v>1210</v>
      </c>
      <c r="G642" s="17">
        <v>5.2</v>
      </c>
      <c r="H642" s="15" t="str">
        <f>_xlfn.DISPIMG("ID_5ECBA802DC8B4BA0BE7BB8B6E326E884",1)</f>
        <v>=DISPIMG("ID_5ECBA802DC8B4BA0BE7BB8B6E326E884",1)</v>
      </c>
    </row>
    <row r="643" s="2" customFormat="1" customHeight="1" spans="1:8">
      <c r="A643" s="13">
        <v>642</v>
      </c>
      <c r="B643" s="15" t="s">
        <v>1085</v>
      </c>
      <c r="C643" s="15" t="s">
        <v>1195</v>
      </c>
      <c r="D643" s="16" t="s">
        <v>1211</v>
      </c>
      <c r="E643" s="15"/>
      <c r="F643" s="16" t="s">
        <v>1212</v>
      </c>
      <c r="G643" s="17">
        <v>5.65666666666667</v>
      </c>
      <c r="H643" s="15" t="str">
        <f>_xlfn.DISPIMG("ID_D6FC3293C26F4C85BAFBCA71225BEF47",1)</f>
        <v>=DISPIMG("ID_D6FC3293C26F4C85BAFBCA71225BEF47",1)</v>
      </c>
    </row>
    <row r="644" s="2" customFormat="1" customHeight="1" spans="1:8">
      <c r="A644" s="13">
        <v>643</v>
      </c>
      <c r="B644" s="15" t="s">
        <v>1085</v>
      </c>
      <c r="C644" s="15" t="s">
        <v>1195</v>
      </c>
      <c r="D644" s="16" t="s">
        <v>1213</v>
      </c>
      <c r="E644" s="15"/>
      <c r="F644" s="16" t="s">
        <v>1214</v>
      </c>
      <c r="G644" s="17">
        <v>7.98</v>
      </c>
      <c r="H644" s="15" t="str">
        <f>_xlfn.DISPIMG("ID_C3AA5D06843945C0811EEA62FD4225EF",1)</f>
        <v>=DISPIMG("ID_C3AA5D06843945C0811EEA62FD4225EF",1)</v>
      </c>
    </row>
    <row r="645" s="2" customFormat="1" customHeight="1" spans="1:8">
      <c r="A645" s="13">
        <v>644</v>
      </c>
      <c r="B645" s="15" t="s">
        <v>1085</v>
      </c>
      <c r="C645" s="15" t="s">
        <v>1195</v>
      </c>
      <c r="D645" s="16" t="s">
        <v>1215</v>
      </c>
      <c r="E645" s="16"/>
      <c r="F645" s="16" t="s">
        <v>85</v>
      </c>
      <c r="G645" s="25">
        <v>10</v>
      </c>
      <c r="H645" s="16" t="str">
        <f>_xlfn.DISPIMG("ID_C17DCCA854124151ABA2A6115B6C7C15",1)</f>
        <v>=DISPIMG("ID_C17DCCA854124151ABA2A6115B6C7C15",1)</v>
      </c>
    </row>
    <row r="646" s="2" customFormat="1" customHeight="1" spans="1:8">
      <c r="A646" s="13">
        <v>645</v>
      </c>
      <c r="B646" s="15" t="s">
        <v>1085</v>
      </c>
      <c r="C646" s="15" t="s">
        <v>1195</v>
      </c>
      <c r="D646" s="16" t="s">
        <v>1216</v>
      </c>
      <c r="E646" s="15"/>
      <c r="F646" s="16" t="s">
        <v>1217</v>
      </c>
      <c r="G646" s="17">
        <v>4.58</v>
      </c>
      <c r="H646" s="15" t="str">
        <f>_xlfn.DISPIMG("ID_B891706BEFA0461DBEFE10EBDF93E413",1)</f>
        <v>=DISPIMG("ID_B891706BEFA0461DBEFE10EBDF93E413",1)</v>
      </c>
    </row>
    <row r="647" s="2" customFormat="1" customHeight="1" spans="1:8">
      <c r="A647" s="13">
        <v>646</v>
      </c>
      <c r="B647" s="15" t="s">
        <v>1085</v>
      </c>
      <c r="C647" s="15" t="s">
        <v>1218</v>
      </c>
      <c r="D647" s="16" t="s">
        <v>1219</v>
      </c>
      <c r="E647" s="15"/>
      <c r="F647" s="16" t="s">
        <v>1220</v>
      </c>
      <c r="G647" s="17">
        <v>2.99</v>
      </c>
      <c r="H647" s="15" t="str">
        <f>_xlfn.DISPIMG("ID_8E95105AFEDA4B10AD71D8518B2B7FF8",1)</f>
        <v>=DISPIMG("ID_8E95105AFEDA4B10AD71D8518B2B7FF8",1)</v>
      </c>
    </row>
    <row r="648" s="2" customFormat="1" customHeight="1" spans="1:8">
      <c r="A648" s="13">
        <v>647</v>
      </c>
      <c r="B648" s="15" t="s">
        <v>1085</v>
      </c>
      <c r="C648" s="15" t="s">
        <v>1218</v>
      </c>
      <c r="D648" s="16" t="s">
        <v>1221</v>
      </c>
      <c r="E648" s="15"/>
      <c r="F648" s="16" t="s">
        <v>1222</v>
      </c>
      <c r="G648" s="17">
        <v>3.8</v>
      </c>
      <c r="H648" s="15" t="str">
        <f>_xlfn.DISPIMG("ID_258960FA65FB48D680191E5E55299A70",1)</f>
        <v>=DISPIMG("ID_258960FA65FB48D680191E5E55299A70",1)</v>
      </c>
    </row>
    <row r="649" s="2" customFormat="1" customHeight="1" spans="1:8">
      <c r="A649" s="13">
        <v>648</v>
      </c>
      <c r="B649" s="15" t="s">
        <v>1085</v>
      </c>
      <c r="C649" s="15" t="s">
        <v>1218</v>
      </c>
      <c r="D649" s="15" t="s">
        <v>1223</v>
      </c>
      <c r="E649" s="16"/>
      <c r="F649" s="16" t="s">
        <v>1224</v>
      </c>
      <c r="G649" s="17">
        <v>3</v>
      </c>
      <c r="H649" s="15" t="str">
        <f>_xlfn.DISPIMG("ID_671AE88F4EE3416D8141892BD3082ED3",1)</f>
        <v>=DISPIMG("ID_671AE88F4EE3416D8141892BD3082ED3",1)</v>
      </c>
    </row>
    <row r="650" s="2" customFormat="1" customHeight="1" spans="1:8">
      <c r="A650" s="13">
        <v>649</v>
      </c>
      <c r="B650" s="15" t="s">
        <v>1085</v>
      </c>
      <c r="C650" s="15" t="s">
        <v>1218</v>
      </c>
      <c r="D650" s="16" t="s">
        <v>1225</v>
      </c>
      <c r="E650" s="15"/>
      <c r="F650" s="16" t="s">
        <v>1226</v>
      </c>
      <c r="G650" s="17">
        <v>6.285</v>
      </c>
      <c r="H650" s="15" t="str">
        <f>_xlfn.DISPIMG("ID_6B162454A740412EA843D8FE51008103",1)</f>
        <v>=DISPIMG("ID_6B162454A740412EA843D8FE51008103",1)</v>
      </c>
    </row>
    <row r="651" s="2" customFormat="1" customHeight="1" spans="1:8">
      <c r="A651" s="13">
        <v>650</v>
      </c>
      <c r="B651" s="15" t="s">
        <v>1085</v>
      </c>
      <c r="C651" s="15" t="s">
        <v>1218</v>
      </c>
      <c r="D651" s="16" t="s">
        <v>1227</v>
      </c>
      <c r="E651" s="15"/>
      <c r="F651" s="16" t="s">
        <v>1228</v>
      </c>
      <c r="G651" s="17">
        <v>3.99</v>
      </c>
      <c r="H651" s="15" t="str">
        <f>_xlfn.DISPIMG("ID_859EE918E1A44A95887FE98367BCD4C2",1)</f>
        <v>=DISPIMG("ID_859EE918E1A44A95887FE98367BCD4C2",1)</v>
      </c>
    </row>
    <row r="652" s="2" customFormat="1" customHeight="1" spans="1:8">
      <c r="A652" s="13">
        <v>651</v>
      </c>
      <c r="B652" s="15" t="s">
        <v>1085</v>
      </c>
      <c r="C652" s="15" t="s">
        <v>1218</v>
      </c>
      <c r="D652" s="16" t="s">
        <v>1229</v>
      </c>
      <c r="E652" s="15"/>
      <c r="F652" s="16" t="s">
        <v>1230</v>
      </c>
      <c r="G652" s="17">
        <v>5</v>
      </c>
      <c r="H652" s="15" t="str">
        <f>_xlfn.DISPIMG("ID_EB1C0B5E5C96417A9B6D53C507442124",1)</f>
        <v>=DISPIMG("ID_EB1C0B5E5C96417A9B6D53C507442124",1)</v>
      </c>
    </row>
    <row r="653" s="2" customFormat="1" customHeight="1" spans="1:8">
      <c r="A653" s="13">
        <v>652</v>
      </c>
      <c r="B653" s="15" t="s">
        <v>1085</v>
      </c>
      <c r="C653" s="15" t="s">
        <v>1218</v>
      </c>
      <c r="D653" s="16" t="s">
        <v>1231</v>
      </c>
      <c r="E653" s="15"/>
      <c r="F653" s="16" t="s">
        <v>1232</v>
      </c>
      <c r="G653" s="17">
        <v>6.99</v>
      </c>
      <c r="H653" s="15" t="str">
        <f>_xlfn.DISPIMG("ID_B667E06004EB44E89D6B8C734C98B7F3",1)</f>
        <v>=DISPIMG("ID_B667E06004EB44E89D6B8C734C98B7F3",1)</v>
      </c>
    </row>
    <row r="654" s="2" customFormat="1" customHeight="1" spans="1:8">
      <c r="A654" s="13">
        <v>653</v>
      </c>
      <c r="B654" s="15" t="s">
        <v>1085</v>
      </c>
      <c r="C654" s="15" t="s">
        <v>1218</v>
      </c>
      <c r="D654" s="16" t="s">
        <v>1233</v>
      </c>
      <c r="E654" s="15"/>
      <c r="F654" s="16" t="s">
        <v>1234</v>
      </c>
      <c r="G654" s="17">
        <v>3.5</v>
      </c>
      <c r="H654" s="15" t="str">
        <f>_xlfn.DISPIMG("ID_942A44B9363746BEBC99AB2F1474BA8C",1)</f>
        <v>=DISPIMG("ID_942A44B9363746BEBC99AB2F1474BA8C",1)</v>
      </c>
    </row>
    <row r="655" s="2" customFormat="1" customHeight="1" spans="1:8">
      <c r="A655" s="13">
        <v>654</v>
      </c>
      <c r="B655" s="15" t="s">
        <v>1085</v>
      </c>
      <c r="C655" s="15" t="s">
        <v>1235</v>
      </c>
      <c r="D655" s="16" t="s">
        <v>1236</v>
      </c>
      <c r="E655" s="15"/>
      <c r="F655" s="16" t="s">
        <v>1237</v>
      </c>
      <c r="G655" s="17">
        <v>4</v>
      </c>
      <c r="H655" s="15" t="str">
        <f>_xlfn.DISPIMG("ID_D6076D213C3045A2A01D7FF49388EA5C",1)</f>
        <v>=DISPIMG("ID_D6076D213C3045A2A01D7FF49388EA5C",1)</v>
      </c>
    </row>
    <row r="656" s="2" customFormat="1" customHeight="1" spans="1:8">
      <c r="A656" s="13">
        <v>655</v>
      </c>
      <c r="B656" s="15" t="s">
        <v>1085</v>
      </c>
      <c r="C656" s="15" t="s">
        <v>1235</v>
      </c>
      <c r="D656" s="16" t="s">
        <v>1238</v>
      </c>
      <c r="E656" s="15"/>
      <c r="F656" s="16" t="s">
        <v>85</v>
      </c>
      <c r="G656" s="17">
        <v>4.99</v>
      </c>
      <c r="H656" s="15" t="str">
        <f>_xlfn.DISPIMG("ID_A3A06E72EDCD4D56BDFA73582F3BA17A",1)</f>
        <v>=DISPIMG("ID_A3A06E72EDCD4D56BDFA73582F3BA17A",1)</v>
      </c>
    </row>
    <row r="657" s="5" customFormat="1" customHeight="1" spans="1:8">
      <c r="A657" s="13">
        <v>656</v>
      </c>
      <c r="B657" s="26" t="s">
        <v>1107</v>
      </c>
      <c r="C657" s="26" t="s">
        <v>1235</v>
      </c>
      <c r="D657" s="27" t="s">
        <v>1239</v>
      </c>
      <c r="E657" s="26"/>
      <c r="F657" s="27" t="s">
        <v>1240</v>
      </c>
      <c r="G657" s="28">
        <v>14</v>
      </c>
      <c r="H657" s="26"/>
    </row>
    <row r="658" s="2" customFormat="1" customHeight="1" spans="1:8">
      <c r="A658" s="13">
        <v>657</v>
      </c>
      <c r="B658" s="15" t="s">
        <v>1085</v>
      </c>
      <c r="C658" s="15" t="s">
        <v>1241</v>
      </c>
      <c r="D658" s="16" t="s">
        <v>1242</v>
      </c>
      <c r="E658" s="15"/>
      <c r="F658" s="16" t="s">
        <v>1243</v>
      </c>
      <c r="G658" s="17">
        <v>1.65</v>
      </c>
      <c r="H658" s="15" t="str">
        <f>_xlfn.DISPIMG("ID_B2408AB206BB41CCA217CE9B321E4C51",1)</f>
        <v>=DISPIMG("ID_B2408AB206BB41CCA217CE9B321E4C51",1)</v>
      </c>
    </row>
    <row r="659" s="2" customFormat="1" customHeight="1" spans="1:8">
      <c r="A659" s="13">
        <v>658</v>
      </c>
      <c r="B659" s="15" t="s">
        <v>1085</v>
      </c>
      <c r="C659" s="15" t="s">
        <v>1241</v>
      </c>
      <c r="D659" s="16" t="s">
        <v>1244</v>
      </c>
      <c r="E659" s="15"/>
      <c r="F659" s="16" t="s">
        <v>1245</v>
      </c>
      <c r="G659" s="17">
        <v>1.65</v>
      </c>
      <c r="H659" s="15" t="str">
        <f>_xlfn.DISPIMG("ID_55F4BE4BA1A04A54BF5C8059AFF2B721",1)</f>
        <v>=DISPIMG("ID_55F4BE4BA1A04A54BF5C8059AFF2B721",1)</v>
      </c>
    </row>
    <row r="660" s="2" customFormat="1" customHeight="1" spans="1:8">
      <c r="A660" s="13">
        <v>659</v>
      </c>
      <c r="B660" s="15" t="s">
        <v>1085</v>
      </c>
      <c r="C660" s="15" t="s">
        <v>1246</v>
      </c>
      <c r="D660" s="16" t="s">
        <v>1247</v>
      </c>
      <c r="E660" s="15"/>
      <c r="F660" s="16" t="s">
        <v>85</v>
      </c>
      <c r="G660" s="17">
        <v>4.5</v>
      </c>
      <c r="H660" s="15" t="str">
        <f>_xlfn.DISPIMG("ID_10262BE9E11546D5B10FF0F6BBC807D4",1)</f>
        <v>=DISPIMG("ID_10262BE9E11546D5B10FF0F6BBC807D4",1)</v>
      </c>
    </row>
    <row r="661" s="2" customFormat="1" customHeight="1" spans="1:8">
      <c r="A661" s="13">
        <v>660</v>
      </c>
      <c r="B661" s="15" t="s">
        <v>1085</v>
      </c>
      <c r="C661" s="15" t="s">
        <v>1246</v>
      </c>
      <c r="D661" s="16" t="s">
        <v>1248</v>
      </c>
      <c r="E661" s="15"/>
      <c r="F661" s="16" t="s">
        <v>1249</v>
      </c>
      <c r="G661" s="17">
        <v>3.8</v>
      </c>
      <c r="H661" s="15" t="str">
        <f>_xlfn.DISPIMG("ID_5D2A8898832747099890AD097CDE5013",1)</f>
        <v>=DISPIMG("ID_5D2A8898832747099890AD097CDE5013",1)</v>
      </c>
    </row>
    <row r="662" s="2" customFormat="1" customHeight="1" spans="1:8">
      <c r="A662" s="13">
        <v>661</v>
      </c>
      <c r="B662" s="15" t="s">
        <v>1085</v>
      </c>
      <c r="C662" s="15" t="s">
        <v>1246</v>
      </c>
      <c r="D662" s="16" t="s">
        <v>1250</v>
      </c>
      <c r="E662" s="15"/>
      <c r="F662" s="16" t="s">
        <v>1251</v>
      </c>
      <c r="G662" s="17">
        <v>3.29</v>
      </c>
      <c r="H662" s="15" t="str">
        <f>_xlfn.DISPIMG("ID_B96CAB155E6F474F839229E362AA840D",1)</f>
        <v>=DISPIMG("ID_B96CAB155E6F474F839229E362AA840D",1)</v>
      </c>
    </row>
    <row r="663" s="2" customFormat="1" customHeight="1" spans="1:8">
      <c r="A663" s="13">
        <v>662</v>
      </c>
      <c r="B663" s="15" t="s">
        <v>1085</v>
      </c>
      <c r="C663" s="15" t="s">
        <v>1246</v>
      </c>
      <c r="D663" s="16" t="s">
        <v>1252</v>
      </c>
      <c r="E663" s="15"/>
      <c r="F663" s="16" t="s">
        <v>1253</v>
      </c>
      <c r="G663" s="17">
        <v>3.99</v>
      </c>
      <c r="H663" s="15" t="str">
        <f>_xlfn.DISPIMG("ID_3EF56F1B85374DCC83FE37A43080CD93",1)</f>
        <v>=DISPIMG("ID_3EF56F1B85374DCC83FE37A43080CD93",1)</v>
      </c>
    </row>
    <row r="664" s="2" customFormat="1" customHeight="1" spans="1:8">
      <c r="A664" s="13">
        <v>663</v>
      </c>
      <c r="B664" s="15" t="s">
        <v>1085</v>
      </c>
      <c r="C664" s="15" t="s">
        <v>1246</v>
      </c>
      <c r="D664" s="16" t="s">
        <v>1254</v>
      </c>
      <c r="E664" s="15"/>
      <c r="F664" s="16" t="s">
        <v>1255</v>
      </c>
      <c r="G664" s="17">
        <v>5.995</v>
      </c>
      <c r="H664" s="15" t="str">
        <f>_xlfn.DISPIMG("ID_7B1D0046B66B4AA2A3FCE24BC628AB41",1)</f>
        <v>=DISPIMG("ID_7B1D0046B66B4AA2A3FCE24BC628AB41",1)</v>
      </c>
    </row>
    <row r="665" s="2" customFormat="1" customHeight="1" spans="1:8">
      <c r="A665" s="13">
        <v>664</v>
      </c>
      <c r="B665" s="15" t="s">
        <v>1085</v>
      </c>
      <c r="C665" s="15" t="s">
        <v>1246</v>
      </c>
      <c r="D665" s="16" t="s">
        <v>1256</v>
      </c>
      <c r="E665" s="15"/>
      <c r="F665" s="16" t="s">
        <v>1257</v>
      </c>
      <c r="G665" s="17">
        <v>13.9333333333333</v>
      </c>
      <c r="H665" s="15" t="str">
        <f>_xlfn.DISPIMG("ID_BBE7C092456F465FAAD003E75861E107",1)</f>
        <v>=DISPIMG("ID_BBE7C092456F465FAAD003E75861E107",1)</v>
      </c>
    </row>
    <row r="666" s="2" customFormat="1" customHeight="1" spans="1:8">
      <c r="A666" s="13">
        <v>665</v>
      </c>
      <c r="B666" s="15" t="s">
        <v>1085</v>
      </c>
      <c r="C666" s="15" t="s">
        <v>1246</v>
      </c>
      <c r="D666" s="16" t="s">
        <v>1258</v>
      </c>
      <c r="E666" s="15"/>
      <c r="F666" s="16" t="s">
        <v>1259</v>
      </c>
      <c r="G666" s="17">
        <v>3.15666666666667</v>
      </c>
      <c r="H666" s="15" t="str">
        <f>_xlfn.DISPIMG("ID_498B7ABA4EEA404C99C605A68C6BBFEF",1)</f>
        <v>=DISPIMG("ID_498B7ABA4EEA404C99C605A68C6BBFEF",1)</v>
      </c>
    </row>
    <row r="667" s="2" customFormat="1" customHeight="1" spans="1:8">
      <c r="A667" s="13">
        <v>666</v>
      </c>
      <c r="B667" s="15" t="s">
        <v>1085</v>
      </c>
      <c r="C667" s="15" t="s">
        <v>1246</v>
      </c>
      <c r="D667" s="16" t="s">
        <v>1260</v>
      </c>
      <c r="E667" s="15"/>
      <c r="F667" s="16" t="s">
        <v>1261</v>
      </c>
      <c r="G667" s="17">
        <v>3.98</v>
      </c>
      <c r="H667" s="15" t="str">
        <f>_xlfn.DISPIMG("ID_F5F12BB1C60E4DF1B7944A39755E8954",1)</f>
        <v>=DISPIMG("ID_F5F12BB1C60E4DF1B7944A39755E8954",1)</v>
      </c>
    </row>
    <row r="668" s="2" customFormat="1" customHeight="1" spans="1:8">
      <c r="A668" s="13">
        <v>667</v>
      </c>
      <c r="B668" s="15" t="s">
        <v>1085</v>
      </c>
      <c r="C668" s="15" t="s">
        <v>1246</v>
      </c>
      <c r="D668" s="16" t="s">
        <v>1262</v>
      </c>
      <c r="E668" s="15"/>
      <c r="F668" s="49" t="s">
        <v>1263</v>
      </c>
      <c r="G668" s="17">
        <v>10.6</v>
      </c>
      <c r="H668" s="15" t="str">
        <f>_xlfn.DISPIMG("ID_7B57FD7012F646DEB516852FEB7A24DB",1)</f>
        <v>=DISPIMG("ID_7B57FD7012F646DEB516852FEB7A24DB",1)</v>
      </c>
    </row>
    <row r="669" s="2" customFormat="1" customHeight="1" spans="1:8">
      <c r="A669" s="13">
        <v>668</v>
      </c>
      <c r="B669" s="15" t="s">
        <v>1085</v>
      </c>
      <c r="C669" s="15" t="s">
        <v>1246</v>
      </c>
      <c r="D669" s="16" t="s">
        <v>1264</v>
      </c>
      <c r="E669" s="15"/>
      <c r="F669" s="16" t="s">
        <v>1265</v>
      </c>
      <c r="G669" s="17">
        <v>1.99</v>
      </c>
      <c r="H669" s="15" t="str">
        <f>_xlfn.DISPIMG("ID_3F9D9D5379CB4A51BE519D706A488F74",1)</f>
        <v>=DISPIMG("ID_3F9D9D5379CB4A51BE519D706A488F74",1)</v>
      </c>
    </row>
    <row r="670" s="2" customFormat="1" customHeight="1" spans="1:8">
      <c r="A670" s="13">
        <v>669</v>
      </c>
      <c r="B670" s="15" t="s">
        <v>1085</v>
      </c>
      <c r="C670" s="15" t="s">
        <v>1266</v>
      </c>
      <c r="D670" s="16" t="s">
        <v>1267</v>
      </c>
      <c r="E670" s="16"/>
      <c r="F670" s="16" t="s">
        <v>85</v>
      </c>
      <c r="G670" s="25">
        <v>8.95</v>
      </c>
      <c r="H670" s="16" t="str">
        <f>_xlfn.DISPIMG("ID_4AFA7B12C4CD42E18C15313EEB98D26C",1)</f>
        <v>=DISPIMG("ID_4AFA7B12C4CD42E18C15313EEB98D26C",1)</v>
      </c>
    </row>
    <row r="671" s="2" customFormat="1" customHeight="1" spans="1:8">
      <c r="A671" s="13">
        <v>670</v>
      </c>
      <c r="B671" s="15" t="s">
        <v>1085</v>
      </c>
      <c r="C671" s="15" t="s">
        <v>1266</v>
      </c>
      <c r="D671" s="16" t="s">
        <v>1268</v>
      </c>
      <c r="E671" s="15"/>
      <c r="F671" s="16" t="s">
        <v>85</v>
      </c>
      <c r="G671" s="17">
        <v>3.245</v>
      </c>
      <c r="H671" s="15" t="str">
        <f>_xlfn.DISPIMG("ID_200FA9D6E4794BF384ABB45F1979AAF4",1)</f>
        <v>=DISPIMG("ID_200FA9D6E4794BF384ABB45F1979AAF4",1)</v>
      </c>
    </row>
    <row r="672" s="2" customFormat="1" customHeight="1" spans="1:8">
      <c r="A672" s="13">
        <v>671</v>
      </c>
      <c r="B672" s="15" t="s">
        <v>1085</v>
      </c>
      <c r="C672" s="15" t="s">
        <v>1266</v>
      </c>
      <c r="D672" s="16" t="s">
        <v>1269</v>
      </c>
      <c r="E672" s="15"/>
      <c r="F672" s="16" t="s">
        <v>1270</v>
      </c>
      <c r="G672" s="17">
        <v>3.04</v>
      </c>
      <c r="H672" s="15" t="str">
        <f>_xlfn.DISPIMG("ID_72EF3FEA38384B13A64B81CEDF5476CF",1)</f>
        <v>=DISPIMG("ID_72EF3FEA38384B13A64B81CEDF5476CF",1)</v>
      </c>
    </row>
    <row r="673" s="2" customFormat="1" customHeight="1" spans="1:8">
      <c r="A673" s="13">
        <v>672</v>
      </c>
      <c r="B673" s="15" t="s">
        <v>1085</v>
      </c>
      <c r="C673" s="15" t="s">
        <v>1271</v>
      </c>
      <c r="D673" s="16" t="s">
        <v>1272</v>
      </c>
      <c r="E673" s="15"/>
      <c r="F673" s="16" t="s">
        <v>85</v>
      </c>
      <c r="G673" s="17">
        <v>1.5</v>
      </c>
      <c r="H673" s="15" t="str">
        <f>_xlfn.DISPIMG("ID_F30C800668354A1C9EE71D8E4023D51B",1)</f>
        <v>=DISPIMG("ID_F30C800668354A1C9EE71D8E4023D51B",1)</v>
      </c>
    </row>
    <row r="674" s="2" customFormat="1" customHeight="1" spans="1:8">
      <c r="A674" s="13">
        <v>673</v>
      </c>
      <c r="B674" s="15" t="s">
        <v>1085</v>
      </c>
      <c r="C674" s="15" t="s">
        <v>1271</v>
      </c>
      <c r="D674" s="16" t="s">
        <v>1273</v>
      </c>
      <c r="E674" s="15"/>
      <c r="F674" s="16" t="s">
        <v>1274</v>
      </c>
      <c r="G674" s="17">
        <v>2</v>
      </c>
      <c r="H674" s="15" t="str">
        <f>_xlfn.DISPIMG("ID_D420B87EB4044638A5E34A8D9BCCA3B9",1)</f>
        <v>=DISPIMG("ID_D420B87EB4044638A5E34A8D9BCCA3B9",1)</v>
      </c>
    </row>
    <row r="675" s="2" customFormat="1" customHeight="1" spans="1:8">
      <c r="A675" s="13">
        <v>674</v>
      </c>
      <c r="B675" s="15" t="s">
        <v>1085</v>
      </c>
      <c r="C675" s="15" t="s">
        <v>1271</v>
      </c>
      <c r="D675" s="16" t="s">
        <v>1275</v>
      </c>
      <c r="E675" s="15"/>
      <c r="F675" s="16" t="s">
        <v>1276</v>
      </c>
      <c r="G675" s="17">
        <v>7.65666666666667</v>
      </c>
      <c r="H675" s="15" t="str">
        <f>_xlfn.DISPIMG("ID_BB643CE91D1A419199FE16AC486F5F71",1)</f>
        <v>=DISPIMG("ID_BB643CE91D1A419199FE16AC486F5F71",1)</v>
      </c>
    </row>
    <row r="676" s="2" customFormat="1" customHeight="1" spans="1:8">
      <c r="A676" s="13">
        <v>675</v>
      </c>
      <c r="B676" s="15" t="s">
        <v>1085</v>
      </c>
      <c r="C676" s="15" t="s">
        <v>1271</v>
      </c>
      <c r="D676" s="16" t="s">
        <v>1277</v>
      </c>
      <c r="E676" s="15"/>
      <c r="F676" s="16" t="s">
        <v>1278</v>
      </c>
      <c r="G676" s="17">
        <v>12.9</v>
      </c>
      <c r="H676" s="15" t="str">
        <f>_xlfn.DISPIMG("ID_F03261A804E448D7A90189ED4E0EE970",1)</f>
        <v>=DISPIMG("ID_F03261A804E448D7A90189ED4E0EE970",1)</v>
      </c>
    </row>
    <row r="677" s="5" customFormat="1" customHeight="1" spans="1:8">
      <c r="A677" s="13">
        <v>676</v>
      </c>
      <c r="B677" s="26" t="s">
        <v>1107</v>
      </c>
      <c r="C677" s="26" t="s">
        <v>1271</v>
      </c>
      <c r="D677" s="26" t="s">
        <v>1279</v>
      </c>
      <c r="E677" s="26"/>
      <c r="F677" s="27" t="s">
        <v>1280</v>
      </c>
      <c r="G677" s="28">
        <v>102</v>
      </c>
      <c r="H677" s="26"/>
    </row>
    <row r="678" s="2" customFormat="1" customHeight="1" spans="1:8">
      <c r="A678" s="13">
        <v>677</v>
      </c>
      <c r="B678" s="15" t="s">
        <v>1281</v>
      </c>
      <c r="C678" s="15" t="s">
        <v>1282</v>
      </c>
      <c r="D678" s="15" t="s">
        <v>1283</v>
      </c>
      <c r="E678" s="15"/>
      <c r="F678" s="16" t="s">
        <v>85</v>
      </c>
      <c r="G678" s="17">
        <v>3.74</v>
      </c>
      <c r="H678" s="15" t="str">
        <f>_xlfn.DISPIMG("ID_81F33CB2268A4DCDA6ED13AF17E0AE81",1)</f>
        <v>=DISPIMG("ID_81F33CB2268A4DCDA6ED13AF17E0AE81",1)</v>
      </c>
    </row>
    <row r="679" s="5" customFormat="1" customHeight="1" spans="1:8">
      <c r="A679" s="13">
        <v>678</v>
      </c>
      <c r="B679" s="26" t="s">
        <v>1281</v>
      </c>
      <c r="C679" s="26" t="s">
        <v>1282</v>
      </c>
      <c r="D679" s="27" t="s">
        <v>1284</v>
      </c>
      <c r="E679" s="26"/>
      <c r="F679" s="27" t="s">
        <v>85</v>
      </c>
      <c r="G679" s="28">
        <v>4.6</v>
      </c>
      <c r="H679" s="26"/>
    </row>
    <row r="680" s="2" customFormat="1" customHeight="1" spans="1:8">
      <c r="A680" s="13">
        <v>679</v>
      </c>
      <c r="B680" s="15" t="s">
        <v>1281</v>
      </c>
      <c r="C680" s="15" t="s">
        <v>1282</v>
      </c>
      <c r="D680" s="16" t="s">
        <v>1285</v>
      </c>
      <c r="E680" s="15"/>
      <c r="F680" s="16" t="s">
        <v>85</v>
      </c>
      <c r="G680" s="17">
        <v>4.995</v>
      </c>
      <c r="H680" s="15" t="str">
        <f>_xlfn.DISPIMG("ID_E8DA7D14E43B442CAD98C12415B168DF",1)</f>
        <v>=DISPIMG("ID_E8DA7D14E43B442CAD98C12415B168DF",1)</v>
      </c>
    </row>
    <row r="681" s="2" customFormat="1" customHeight="1" spans="1:8">
      <c r="A681" s="13">
        <v>680</v>
      </c>
      <c r="B681" s="15" t="s">
        <v>1281</v>
      </c>
      <c r="C681" s="15" t="s">
        <v>1282</v>
      </c>
      <c r="D681" s="16" t="s">
        <v>1286</v>
      </c>
      <c r="E681" s="15"/>
      <c r="F681" s="16" t="s">
        <v>1287</v>
      </c>
      <c r="G681" s="17">
        <v>10</v>
      </c>
      <c r="H681" s="15" t="str">
        <f>_xlfn.DISPIMG("ID_8C4122C405EE4CE6B809F3DF05032345",1)</f>
        <v>=DISPIMG("ID_8C4122C405EE4CE6B809F3DF05032345",1)</v>
      </c>
    </row>
    <row r="682" s="2" customFormat="1" customHeight="1" spans="1:8">
      <c r="A682" s="13">
        <v>681</v>
      </c>
      <c r="B682" s="15" t="s">
        <v>1281</v>
      </c>
      <c r="C682" s="15" t="s">
        <v>1288</v>
      </c>
      <c r="D682" s="16" t="s">
        <v>1289</v>
      </c>
      <c r="E682" s="15"/>
      <c r="F682" s="16" t="s">
        <v>1290</v>
      </c>
      <c r="G682" s="17">
        <v>8.5</v>
      </c>
      <c r="H682" s="15" t="str">
        <f>_xlfn.DISPIMG("ID_8EAD5B1ED02D4AD2B9ADA8EAEB2CEA6B",1)</f>
        <v>=DISPIMG("ID_8EAD5B1ED02D4AD2B9ADA8EAEB2CEA6B",1)</v>
      </c>
    </row>
    <row r="683" s="2" customFormat="1" customHeight="1" spans="1:8">
      <c r="A683" s="13">
        <v>682</v>
      </c>
      <c r="B683" s="15" t="s">
        <v>1281</v>
      </c>
      <c r="C683" s="15" t="s">
        <v>1288</v>
      </c>
      <c r="D683" s="16" t="s">
        <v>1291</v>
      </c>
      <c r="E683" s="15"/>
      <c r="F683" s="16" t="s">
        <v>1292</v>
      </c>
      <c r="G683" s="17">
        <v>8</v>
      </c>
      <c r="H683" s="15" t="str">
        <f>_xlfn.DISPIMG("ID_BB9D7F0030BC4525A4B2BCF2AFB98BEC",1)</f>
        <v>=DISPIMG("ID_BB9D7F0030BC4525A4B2BCF2AFB98BEC",1)</v>
      </c>
    </row>
    <row r="684" s="2" customFormat="1" customHeight="1" spans="1:8">
      <c r="A684" s="13">
        <v>683</v>
      </c>
      <c r="B684" s="15" t="s">
        <v>1281</v>
      </c>
      <c r="C684" s="15" t="s">
        <v>1293</v>
      </c>
      <c r="D684" s="34" t="s">
        <v>1294</v>
      </c>
      <c r="E684" s="15"/>
      <c r="F684" s="16" t="s">
        <v>85</v>
      </c>
      <c r="G684" s="17">
        <v>8.495</v>
      </c>
      <c r="H684" s="15" t="str">
        <f>_xlfn.DISPIMG("ID_48113DA2EE0948689F241F7A286A1942",1)</f>
        <v>=DISPIMG("ID_48113DA2EE0948689F241F7A286A1942",1)</v>
      </c>
    </row>
    <row r="685" s="2" customFormat="1" customHeight="1" spans="1:8">
      <c r="A685" s="13">
        <v>684</v>
      </c>
      <c r="B685" s="15" t="s">
        <v>1281</v>
      </c>
      <c r="C685" s="15" t="s">
        <v>1293</v>
      </c>
      <c r="D685" s="16" t="s">
        <v>1295</v>
      </c>
      <c r="E685" s="15"/>
      <c r="F685" s="16" t="s">
        <v>1296</v>
      </c>
      <c r="G685" s="17">
        <v>5</v>
      </c>
      <c r="H685" s="15" t="str">
        <f>_xlfn.DISPIMG("ID_27C56290143F46368DD2BCFD09F747A7",1)</f>
        <v>=DISPIMG("ID_27C56290143F46368DD2BCFD09F747A7",1)</v>
      </c>
    </row>
    <row r="686" s="5" customFormat="1" customHeight="1" spans="1:8">
      <c r="A686" s="13">
        <v>685</v>
      </c>
      <c r="B686" s="26" t="s">
        <v>1281</v>
      </c>
      <c r="C686" s="26" t="s">
        <v>1293</v>
      </c>
      <c r="D686" s="27" t="s">
        <v>1297</v>
      </c>
      <c r="E686" s="26"/>
      <c r="F686" s="27" t="s">
        <v>1296</v>
      </c>
      <c r="G686" s="28">
        <v>4.3</v>
      </c>
      <c r="H686" s="26"/>
    </row>
    <row r="687" s="2" customFormat="1" customHeight="1" spans="1:8">
      <c r="A687" s="13">
        <v>686</v>
      </c>
      <c r="B687" s="15" t="s">
        <v>1281</v>
      </c>
      <c r="C687" s="15" t="s">
        <v>1293</v>
      </c>
      <c r="D687" s="16" t="s">
        <v>1298</v>
      </c>
      <c r="E687" s="15"/>
      <c r="F687" s="16" t="s">
        <v>1299</v>
      </c>
      <c r="G687" s="17">
        <v>8.39</v>
      </c>
      <c r="H687" s="15" t="str">
        <f>_xlfn.DISPIMG("ID_745633562B024ECFB7E18DD49063D806",1)</f>
        <v>=DISPIMG("ID_745633562B024ECFB7E18DD49063D806",1)</v>
      </c>
    </row>
    <row r="688" s="2" customFormat="1" customHeight="1" spans="1:8">
      <c r="A688" s="13">
        <v>687</v>
      </c>
      <c r="B688" s="15" t="s">
        <v>1281</v>
      </c>
      <c r="C688" s="15" t="s">
        <v>1300</v>
      </c>
      <c r="D688" s="16" t="s">
        <v>1301</v>
      </c>
      <c r="E688" s="15"/>
      <c r="F688" s="16" t="s">
        <v>1302</v>
      </c>
      <c r="G688" s="17">
        <v>10.95</v>
      </c>
      <c r="H688" s="15" t="str">
        <f>_xlfn.DISPIMG("ID_CD176E2D38684A10A38CB0DE9869E2B2",1)</f>
        <v>=DISPIMG("ID_CD176E2D38684A10A38CB0DE9869E2B2",1)</v>
      </c>
    </row>
    <row r="689" s="2" customFormat="1" customHeight="1" spans="1:8">
      <c r="A689" s="13">
        <v>688</v>
      </c>
      <c r="B689" s="15" t="s">
        <v>1281</v>
      </c>
      <c r="C689" s="15" t="s">
        <v>1300</v>
      </c>
      <c r="D689" s="16" t="s">
        <v>1303</v>
      </c>
      <c r="E689" s="15"/>
      <c r="F689" s="16" t="s">
        <v>1302</v>
      </c>
      <c r="G689" s="17">
        <v>12.9</v>
      </c>
      <c r="H689" s="15" t="str">
        <f>_xlfn.DISPIMG("ID_561932EC709A4A8688BCE4E3D89B88F9",1)</f>
        <v>=DISPIMG("ID_561932EC709A4A8688BCE4E3D89B88F9",1)</v>
      </c>
    </row>
    <row r="690" s="2" customFormat="1" customHeight="1" spans="1:8">
      <c r="A690" s="13">
        <v>689</v>
      </c>
      <c r="B690" s="18" t="s">
        <v>1281</v>
      </c>
      <c r="C690" s="15" t="s">
        <v>1304</v>
      </c>
      <c r="D690" s="18" t="s">
        <v>1305</v>
      </c>
      <c r="E690" s="18"/>
      <c r="F690" s="16" t="s">
        <v>85</v>
      </c>
      <c r="G690" s="17">
        <v>10</v>
      </c>
      <c r="H690" s="15" t="str">
        <f>_xlfn.DISPIMG("ID_5CFFD957AF904A9FA7A2CFEC45BE2DEC",1)</f>
        <v>=DISPIMG("ID_5CFFD957AF904A9FA7A2CFEC45BE2DEC",1)</v>
      </c>
    </row>
    <row r="691" s="2" customFormat="1" customHeight="1" spans="1:8">
      <c r="A691" s="13">
        <v>690</v>
      </c>
      <c r="B691" s="15" t="s">
        <v>1281</v>
      </c>
      <c r="C691" s="15" t="s">
        <v>1304</v>
      </c>
      <c r="D691" s="16" t="s">
        <v>1306</v>
      </c>
      <c r="E691" s="15"/>
      <c r="F691" s="16" t="s">
        <v>1307</v>
      </c>
      <c r="G691" s="17">
        <v>6.92</v>
      </c>
      <c r="H691" s="15" t="str">
        <f>_xlfn.DISPIMG("ID_2EF0F6ADFAE64DADADC9EB78C3343114",1)</f>
        <v>=DISPIMG("ID_2EF0F6ADFAE64DADADC9EB78C3343114",1)</v>
      </c>
    </row>
    <row r="692" s="2" customFormat="1" customHeight="1" spans="1:8">
      <c r="A692" s="13">
        <v>691</v>
      </c>
      <c r="B692" s="15" t="s">
        <v>1281</v>
      </c>
      <c r="C692" s="15" t="s">
        <v>1304</v>
      </c>
      <c r="D692" s="15" t="s">
        <v>1308</v>
      </c>
      <c r="E692" s="15" t="s">
        <v>1309</v>
      </c>
      <c r="F692" s="16" t="s">
        <v>1310</v>
      </c>
      <c r="G692" s="17">
        <v>175</v>
      </c>
      <c r="H692" s="15" t="str">
        <f>_xlfn.DISPIMG("ID_AFF5A30A03524E1FB7365845EDC06CCE",1)</f>
        <v>=DISPIMG("ID_AFF5A30A03524E1FB7365845EDC06CCE",1)</v>
      </c>
    </row>
    <row r="693" s="2" customFormat="1" customHeight="1" spans="1:8">
      <c r="A693" s="13">
        <v>692</v>
      </c>
      <c r="B693" s="15" t="s">
        <v>1281</v>
      </c>
      <c r="C693" s="15" t="s">
        <v>1304</v>
      </c>
      <c r="D693" s="16" t="s">
        <v>1311</v>
      </c>
      <c r="E693" s="15"/>
      <c r="F693" s="16" t="s">
        <v>1312</v>
      </c>
      <c r="G693" s="17">
        <v>16</v>
      </c>
      <c r="H693" s="15" t="str">
        <f>_xlfn.DISPIMG("ID_5C35F4DDE2E144C38C88D8E0042439CA",1)</f>
        <v>=DISPIMG("ID_5C35F4DDE2E144C38C88D8E0042439CA",1)</v>
      </c>
    </row>
    <row r="694" s="2" customFormat="1" customHeight="1" spans="1:8">
      <c r="A694" s="13">
        <v>693</v>
      </c>
      <c r="B694" s="15" t="s">
        <v>1281</v>
      </c>
      <c r="C694" s="15" t="s">
        <v>1304</v>
      </c>
      <c r="D694" s="15" t="s">
        <v>1313</v>
      </c>
      <c r="E694" s="15" t="s">
        <v>1314</v>
      </c>
      <c r="F694" s="16" t="s">
        <v>1315</v>
      </c>
      <c r="G694" s="17">
        <v>14.8</v>
      </c>
      <c r="H694" s="15" t="str">
        <f>_xlfn.DISPIMG("ID_BC746B9CE4EB4F07B691C8ECD5328746",1)</f>
        <v>=DISPIMG("ID_BC746B9CE4EB4F07B691C8ECD5328746",1)</v>
      </c>
    </row>
    <row r="695" s="2" customFormat="1" customHeight="1" spans="1:8">
      <c r="A695" s="13">
        <v>694</v>
      </c>
      <c r="B695" s="15" t="s">
        <v>1281</v>
      </c>
      <c r="C695" s="15" t="s">
        <v>1304</v>
      </c>
      <c r="D695" s="15" t="s">
        <v>1316</v>
      </c>
      <c r="E695" s="15"/>
      <c r="F695" s="16" t="s">
        <v>85</v>
      </c>
      <c r="G695" s="17">
        <v>15</v>
      </c>
      <c r="H695" s="15" t="str">
        <f>_xlfn.DISPIMG("ID_13F4333B0999436B9D974F19F5EC6470",1)</f>
        <v>=DISPIMG("ID_13F4333B0999436B9D974F19F5EC6470",1)</v>
      </c>
    </row>
    <row r="696" s="2" customFormat="1" customHeight="1" spans="1:8">
      <c r="A696" s="13">
        <v>695</v>
      </c>
      <c r="B696" s="15" t="s">
        <v>1281</v>
      </c>
      <c r="C696" s="15" t="s">
        <v>1317</v>
      </c>
      <c r="D696" s="16" t="s">
        <v>1318</v>
      </c>
      <c r="E696" s="15"/>
      <c r="F696" s="16" t="s">
        <v>1319</v>
      </c>
      <c r="G696" s="17">
        <v>5.98</v>
      </c>
      <c r="H696" s="15" t="str">
        <f>_xlfn.DISPIMG("ID_464B7F4383814EC886812AF1F6D3B4BD",1)</f>
        <v>=DISPIMG("ID_464B7F4383814EC886812AF1F6D3B4BD",1)</v>
      </c>
    </row>
    <row r="697" s="2" customFormat="1" customHeight="1" spans="1:8">
      <c r="A697" s="13">
        <v>696</v>
      </c>
      <c r="B697" s="15" t="s">
        <v>1281</v>
      </c>
      <c r="C697" s="15" t="s">
        <v>1317</v>
      </c>
      <c r="D697" s="16" t="s">
        <v>1317</v>
      </c>
      <c r="E697" s="15"/>
      <c r="F697" s="16" t="s">
        <v>1320</v>
      </c>
      <c r="G697" s="17">
        <v>5</v>
      </c>
      <c r="H697" s="15" t="str">
        <f>_xlfn.DISPIMG("ID_F1CC9359D3B1432D9371B3230F0D3388",1)</f>
        <v>=DISPIMG("ID_F1CC9359D3B1432D9371B3230F0D3388",1)</v>
      </c>
    </row>
    <row r="698" s="2" customFormat="1" customHeight="1" spans="1:8">
      <c r="A698" s="13">
        <v>697</v>
      </c>
      <c r="B698" s="15" t="s">
        <v>1281</v>
      </c>
      <c r="C698" s="15" t="s">
        <v>1321</v>
      </c>
      <c r="D698" s="16" t="s">
        <v>1322</v>
      </c>
      <c r="E698" s="15"/>
      <c r="F698" s="16" t="s">
        <v>1323</v>
      </c>
      <c r="G698" s="17">
        <v>10</v>
      </c>
      <c r="H698" s="15" t="str">
        <f>_xlfn.DISPIMG("ID_C8FAEA9F815D4BACBD5864E952265D11",1)</f>
        <v>=DISPIMG("ID_C8FAEA9F815D4BACBD5864E952265D11",1)</v>
      </c>
    </row>
    <row r="699" s="5" customFormat="1" customHeight="1" spans="1:8">
      <c r="A699" s="13">
        <v>698</v>
      </c>
      <c r="B699" s="26" t="s">
        <v>1281</v>
      </c>
      <c r="C699" s="26" t="s">
        <v>1324</v>
      </c>
      <c r="D699" s="27" t="s">
        <v>1325</v>
      </c>
      <c r="E699" s="26"/>
      <c r="F699" s="27" t="s">
        <v>666</v>
      </c>
      <c r="G699" s="28">
        <v>2.99</v>
      </c>
      <c r="H699" s="26"/>
    </row>
    <row r="700" s="2" customFormat="1" customHeight="1" spans="1:8">
      <c r="A700" s="13">
        <v>699</v>
      </c>
      <c r="B700" s="15" t="s">
        <v>1326</v>
      </c>
      <c r="C700" s="15" t="s">
        <v>1327</v>
      </c>
      <c r="D700" s="16" t="s">
        <v>1328</v>
      </c>
      <c r="E700" s="15"/>
      <c r="F700" s="16" t="s">
        <v>1329</v>
      </c>
      <c r="G700" s="17">
        <v>25</v>
      </c>
      <c r="H700" s="15" t="str">
        <f>_xlfn.DISPIMG("ID_4BE608F6C37E46379DFA5D6D1C19CD0C",1)</f>
        <v>=DISPIMG("ID_4BE608F6C37E46379DFA5D6D1C19CD0C",1)</v>
      </c>
    </row>
    <row r="701" s="2" customFormat="1" customHeight="1" spans="1:8">
      <c r="A701" s="13">
        <v>700</v>
      </c>
      <c r="B701" s="15" t="s">
        <v>1326</v>
      </c>
      <c r="C701" s="15" t="s">
        <v>1327</v>
      </c>
      <c r="D701" s="16" t="s">
        <v>1330</v>
      </c>
      <c r="E701" s="15" t="s">
        <v>1330</v>
      </c>
      <c r="F701" s="16" t="s">
        <v>1331</v>
      </c>
      <c r="G701" s="17">
        <v>210</v>
      </c>
      <c r="H701" s="15" t="str">
        <f>_xlfn.DISPIMG("ID_5035978A9B5C4983BF838018B434FE90",1)</f>
        <v>=DISPIMG("ID_5035978A9B5C4983BF838018B434FE90",1)</v>
      </c>
    </row>
    <row r="702" s="2" customFormat="1" customHeight="1" spans="1:8">
      <c r="A702" s="13">
        <v>701</v>
      </c>
      <c r="B702" s="15" t="s">
        <v>1326</v>
      </c>
      <c r="C702" s="15" t="s">
        <v>1332</v>
      </c>
      <c r="D702" s="16" t="s">
        <v>1333</v>
      </c>
      <c r="E702" s="15" t="s">
        <v>1334</v>
      </c>
      <c r="F702" s="16" t="s">
        <v>1335</v>
      </c>
      <c r="G702" s="17">
        <v>180</v>
      </c>
      <c r="H702" s="15" t="str">
        <f>_xlfn.DISPIMG("ID_C183FC4A756945CD908CD4E8DBD3A9EC",1)</f>
        <v>=DISPIMG("ID_C183FC4A756945CD908CD4E8DBD3A9EC",1)</v>
      </c>
    </row>
    <row r="703" s="2" customFormat="1" customHeight="1" spans="1:8">
      <c r="A703" s="13">
        <v>702</v>
      </c>
      <c r="B703" s="14" t="s">
        <v>1326</v>
      </c>
      <c r="C703" s="15" t="s">
        <v>1332</v>
      </c>
      <c r="D703" s="16" t="s">
        <v>1336</v>
      </c>
      <c r="E703" s="16" t="s">
        <v>1337</v>
      </c>
      <c r="F703" s="16" t="s">
        <v>1335</v>
      </c>
      <c r="G703" s="25">
        <v>98</v>
      </c>
      <c r="H703" s="16"/>
    </row>
    <row r="704" s="5" customFormat="1" customHeight="1" spans="1:8">
      <c r="A704" s="13">
        <v>703</v>
      </c>
      <c r="B704" s="29" t="s">
        <v>1326</v>
      </c>
      <c r="C704" s="26" t="s">
        <v>1332</v>
      </c>
      <c r="D704" s="27" t="s">
        <v>1336</v>
      </c>
      <c r="E704" s="27" t="s">
        <v>1337</v>
      </c>
      <c r="F704" s="27" t="s">
        <v>1338</v>
      </c>
      <c r="G704" s="28">
        <v>140</v>
      </c>
      <c r="H704" s="26"/>
    </row>
    <row r="705" s="2" customFormat="1" customHeight="1" spans="1:8">
      <c r="A705" s="13">
        <v>704</v>
      </c>
      <c r="B705" s="14" t="s">
        <v>1326</v>
      </c>
      <c r="C705" s="15" t="s">
        <v>1339</v>
      </c>
      <c r="D705" s="16" t="s">
        <v>1340</v>
      </c>
      <c r="E705" s="16" t="s">
        <v>1341</v>
      </c>
      <c r="F705" s="16" t="s">
        <v>1342</v>
      </c>
      <c r="G705" s="17">
        <v>210</v>
      </c>
      <c r="H705" s="15" t="str">
        <f>_xlfn.DISPIMG("ID_DA1FBE6E656C4BEB8D31EE7DA5B4FB94",1)</f>
        <v>=DISPIMG("ID_DA1FBE6E656C4BEB8D31EE7DA5B4FB94",1)</v>
      </c>
    </row>
    <row r="706" s="9" customFormat="1" customHeight="1" spans="1:8">
      <c r="A706" s="13">
        <v>705</v>
      </c>
      <c r="B706" s="26" t="s">
        <v>1326</v>
      </c>
      <c r="C706" s="26" t="s">
        <v>1343</v>
      </c>
      <c r="D706" s="27" t="s">
        <v>1327</v>
      </c>
      <c r="E706" s="26" t="s">
        <v>1344</v>
      </c>
      <c r="F706" s="27" t="s">
        <v>1345</v>
      </c>
      <c r="G706" s="28">
        <v>129</v>
      </c>
      <c r="H706" s="26"/>
    </row>
    <row r="707" s="9" customFormat="1" customHeight="1" spans="1:8">
      <c r="A707" s="13">
        <v>706</v>
      </c>
      <c r="B707" s="26" t="s">
        <v>1326</v>
      </c>
      <c r="C707" s="26" t="s">
        <v>1343</v>
      </c>
      <c r="D707" s="27" t="s">
        <v>1346</v>
      </c>
      <c r="E707" s="26" t="s">
        <v>1347</v>
      </c>
      <c r="F707" s="27" t="s">
        <v>1348</v>
      </c>
      <c r="G707" s="28">
        <v>59</v>
      </c>
      <c r="H707" s="26"/>
    </row>
    <row r="708" s="9" customFormat="1" customHeight="1" spans="1:8">
      <c r="A708" s="13">
        <v>707</v>
      </c>
      <c r="B708" s="26" t="s">
        <v>1326</v>
      </c>
      <c r="C708" s="26" t="s">
        <v>1343</v>
      </c>
      <c r="D708" s="27" t="s">
        <v>1349</v>
      </c>
      <c r="E708" s="26" t="s">
        <v>1347</v>
      </c>
      <c r="F708" s="27" t="s">
        <v>1350</v>
      </c>
      <c r="G708" s="28">
        <v>258</v>
      </c>
      <c r="H708" s="26"/>
    </row>
    <row r="709" s="9" customFormat="1" customHeight="1" spans="1:8">
      <c r="A709" s="13">
        <v>708</v>
      </c>
      <c r="B709" s="26" t="s">
        <v>1326</v>
      </c>
      <c r="C709" s="26" t="s">
        <v>1343</v>
      </c>
      <c r="D709" s="27" t="s">
        <v>1351</v>
      </c>
      <c r="E709" s="26"/>
      <c r="F709" s="27" t="s">
        <v>1352</v>
      </c>
      <c r="G709" s="28">
        <v>35</v>
      </c>
      <c r="H709" s="26"/>
    </row>
    <row r="710" s="9" customFormat="1" customHeight="1" spans="1:8">
      <c r="A710" s="13">
        <v>709</v>
      </c>
      <c r="B710" s="26" t="s">
        <v>1326</v>
      </c>
      <c r="C710" s="26" t="s">
        <v>1353</v>
      </c>
      <c r="D710" s="27" t="s">
        <v>1354</v>
      </c>
      <c r="E710" s="26"/>
      <c r="F710" s="27" t="s">
        <v>1355</v>
      </c>
      <c r="G710" s="28">
        <v>8</v>
      </c>
      <c r="H710" s="26"/>
    </row>
    <row r="711" s="9" customFormat="1" customHeight="1" spans="1:8">
      <c r="A711" s="13">
        <v>710</v>
      </c>
      <c r="B711" s="26" t="s">
        <v>1326</v>
      </c>
      <c r="C711" s="26" t="s">
        <v>1353</v>
      </c>
      <c r="D711" s="27" t="s">
        <v>1356</v>
      </c>
      <c r="E711" s="26"/>
      <c r="F711" s="27" t="s">
        <v>1357</v>
      </c>
      <c r="G711" s="28">
        <v>8</v>
      </c>
      <c r="H711" s="26"/>
    </row>
    <row r="712" s="9" customFormat="1" customHeight="1" spans="1:8">
      <c r="A712" s="13">
        <v>711</v>
      </c>
      <c r="B712" s="26" t="s">
        <v>1326</v>
      </c>
      <c r="C712" s="26" t="s">
        <v>1353</v>
      </c>
      <c r="D712" s="27" t="s">
        <v>1358</v>
      </c>
      <c r="E712" s="26"/>
      <c r="F712" s="27" t="s">
        <v>1359</v>
      </c>
      <c r="G712" s="28">
        <v>15.5</v>
      </c>
      <c r="H712" s="26"/>
    </row>
    <row r="713" s="9" customFormat="1" customHeight="1" spans="1:8">
      <c r="A713" s="13">
        <v>712</v>
      </c>
      <c r="B713" s="26" t="s">
        <v>1326</v>
      </c>
      <c r="C713" s="26" t="s">
        <v>1353</v>
      </c>
      <c r="D713" s="27" t="s">
        <v>1360</v>
      </c>
      <c r="E713" s="26"/>
      <c r="F713" s="27" t="s">
        <v>1359</v>
      </c>
      <c r="G713" s="28">
        <v>13.5</v>
      </c>
      <c r="H713" s="26"/>
    </row>
    <row r="714" s="9" customFormat="1" customHeight="1" spans="1:8">
      <c r="A714" s="13">
        <v>713</v>
      </c>
      <c r="B714" s="26" t="s">
        <v>1326</v>
      </c>
      <c r="C714" s="26" t="s">
        <v>1353</v>
      </c>
      <c r="D714" s="27" t="s">
        <v>1361</v>
      </c>
      <c r="E714" s="26"/>
      <c r="F714" s="27" t="s">
        <v>1359</v>
      </c>
      <c r="G714" s="28">
        <v>8</v>
      </c>
      <c r="H714" s="26"/>
    </row>
    <row r="715" s="9" customFormat="1" customHeight="1" spans="1:8">
      <c r="A715" s="13">
        <v>714</v>
      </c>
      <c r="B715" s="26" t="s">
        <v>1326</v>
      </c>
      <c r="C715" s="26" t="s">
        <v>1353</v>
      </c>
      <c r="D715" s="27" t="s">
        <v>1362</v>
      </c>
      <c r="E715" s="26"/>
      <c r="F715" s="27" t="s">
        <v>1363</v>
      </c>
      <c r="G715" s="28">
        <v>200</v>
      </c>
      <c r="H715" s="26"/>
    </row>
    <row r="716" s="9" customFormat="1" customHeight="1" spans="1:8">
      <c r="A716" s="13">
        <v>715</v>
      </c>
      <c r="B716" s="26" t="s">
        <v>1326</v>
      </c>
      <c r="C716" s="26" t="s">
        <v>1353</v>
      </c>
      <c r="D716" s="27" t="s">
        <v>1364</v>
      </c>
      <c r="E716" s="26"/>
      <c r="F716" s="27" t="s">
        <v>1365</v>
      </c>
      <c r="G716" s="28">
        <v>160</v>
      </c>
      <c r="H716" s="26"/>
    </row>
    <row r="717" s="9" customFormat="1" customHeight="1" spans="1:8">
      <c r="A717" s="13">
        <v>716</v>
      </c>
      <c r="B717" s="26" t="s">
        <v>1326</v>
      </c>
      <c r="C717" s="26" t="s">
        <v>1353</v>
      </c>
      <c r="D717" s="27" t="s">
        <v>1366</v>
      </c>
      <c r="E717" s="26"/>
      <c r="F717" s="27" t="s">
        <v>1367</v>
      </c>
      <c r="G717" s="28" t="s">
        <v>1368</v>
      </c>
      <c r="H717" s="26"/>
    </row>
    <row r="718" s="9" customFormat="1" customHeight="1" spans="1:8">
      <c r="A718" s="13">
        <v>717</v>
      </c>
      <c r="B718" s="26" t="s">
        <v>1326</v>
      </c>
      <c r="C718" s="26" t="s">
        <v>1353</v>
      </c>
      <c r="D718" s="27" t="s">
        <v>1369</v>
      </c>
      <c r="E718" s="26"/>
      <c r="F718" s="27" t="s">
        <v>1370</v>
      </c>
      <c r="G718" s="28" t="s">
        <v>1371</v>
      </c>
      <c r="H718" s="26"/>
    </row>
    <row r="719" s="9" customFormat="1" customHeight="1" spans="1:8">
      <c r="A719" s="13">
        <v>718</v>
      </c>
      <c r="B719" s="26" t="s">
        <v>1326</v>
      </c>
      <c r="C719" s="26" t="s">
        <v>1353</v>
      </c>
      <c r="D719" s="27" t="s">
        <v>1372</v>
      </c>
      <c r="E719" s="26" t="s">
        <v>1373</v>
      </c>
      <c r="F719" s="27" t="s">
        <v>1374</v>
      </c>
      <c r="G719" s="28">
        <v>360</v>
      </c>
      <c r="H719" s="26"/>
    </row>
    <row r="720" s="9" customFormat="1" customHeight="1" spans="1:8">
      <c r="A720" s="13">
        <v>719</v>
      </c>
      <c r="B720" s="26" t="s">
        <v>1326</v>
      </c>
      <c r="C720" s="26" t="s">
        <v>1353</v>
      </c>
      <c r="D720" s="27" t="s">
        <v>1375</v>
      </c>
      <c r="E720" s="26"/>
      <c r="F720" s="27" t="s">
        <v>1376</v>
      </c>
      <c r="G720" s="28">
        <v>10</v>
      </c>
      <c r="H720" s="26"/>
    </row>
    <row r="721" s="5" customFormat="1" customHeight="1" spans="1:8">
      <c r="A721" s="13">
        <v>720</v>
      </c>
      <c r="B721" s="26" t="s">
        <v>1326</v>
      </c>
      <c r="C721" s="26" t="s">
        <v>1332</v>
      </c>
      <c r="D721" s="27" t="s">
        <v>1377</v>
      </c>
      <c r="E721" s="26" t="s">
        <v>1378</v>
      </c>
      <c r="F721" s="27" t="s">
        <v>1379</v>
      </c>
      <c r="G721" s="28">
        <v>4.5</v>
      </c>
      <c r="H721" s="26"/>
    </row>
    <row r="722" s="5" customFormat="1" customHeight="1" spans="1:8">
      <c r="A722" s="13">
        <v>721</v>
      </c>
      <c r="B722" s="26" t="s">
        <v>1326</v>
      </c>
      <c r="C722" s="26" t="s">
        <v>1332</v>
      </c>
      <c r="D722" s="27" t="s">
        <v>1380</v>
      </c>
      <c r="E722" s="26" t="s">
        <v>1334</v>
      </c>
      <c r="F722" s="27" t="s">
        <v>1381</v>
      </c>
      <c r="G722" s="28">
        <v>5</v>
      </c>
      <c r="H722" s="26"/>
    </row>
    <row r="723" s="5" customFormat="1" customHeight="1" spans="1:8">
      <c r="A723" s="13">
        <v>722</v>
      </c>
      <c r="B723" s="26" t="s">
        <v>1326</v>
      </c>
      <c r="C723" s="26" t="s">
        <v>1332</v>
      </c>
      <c r="D723" s="27" t="s">
        <v>1382</v>
      </c>
      <c r="E723" s="26" t="s">
        <v>1378</v>
      </c>
      <c r="F723" s="27" t="s">
        <v>1383</v>
      </c>
      <c r="G723" s="28">
        <v>25</v>
      </c>
      <c r="H723" s="26"/>
    </row>
  </sheetData>
  <autoFilter xmlns:etc="http://www.wps.cn/officeDocument/2017/etCustomData" ref="A1:H723" etc:filterBottomFollowUsedRange="0">
    <sortState ref="A1:H723">
      <sortCondition ref="A1"/>
    </sortState>
    <extLst/>
  </autoFilter>
  <conditionalFormatting sqref="A1:A65677">
    <cfRule type="duplicateValues" dxfId="0" priority="2"/>
  </conditionalFormatting>
  <conditionalFormatting sqref="D482:D492">
    <cfRule type="duplicateValues" dxfId="1" priority="1"/>
  </conditionalFormatting>
  <dataValidations count="2">
    <dataValidation allowBlank="1" showInputMessage="1" showErrorMessage="1" sqref="A1:H1 I1:IT1 B6:C6 B7:H7 B21 F21 D27:H27 G64:H64 G82:H82 G114:H114 G115:H115 I115:IT115 G164:H164 B165:H165 I165:IT165 G192:H192 B208:H208 I208:IT208 G209:H209 D223 E239:F239 B246:F246 G249:H249 G265:H265 B266:H266 I266:IT266 G274:H274 C349 G350:H350 G352:H352 B368:F368 C375 B380:C380 C382 G397:H397 G399:H399 E421:H421 E443 C469 E469:H469 E471:F471 C478 G555:H555 B560:F560 G583:H583 B584:H584 I584:IT584 G586:H586 B587:H587 I587:IT587 B605:H605 I605:IT605 G609:H609 B610:H610 I610:IT610 G613:H613 G615:H615 B620:D620 C621 D628:F628 B633:H633 I633:IT633 G634:H634 G637:H637 C681 F687 A2:A723 B371:B379 B381:B382 B621:B623 C21:C22 C371:C372 C555:C559 D10:D14 D17:D18 D349:D367 D469:D477 D621:D623 D626:D627 E21:E22 E472:E474 F346:F349 F473:F474 F679:F680 F690:F691 F695:F696 G575:H581 I634:IT656 I613:IT632 B2:H5 B383:C418 B28:H29 B456:H457 B23:C27 B30:H39 B40:F55 B56:H63 B64:F99 B100:H104 B105:F151 B152:H154 B155:F164 B369:C370 B247:H248 B419:H420 B209:C245 B249:F255 B256:H260 B261:F265 B267:F345 B350:C367 B166:F207 B10:C18 B421:D455 B493:F554 B585:F586 B677:F678 B561:H564 B565:F583 B588:F604 B606:C609 B611:F619 B624:D625 B626:C628 B629:F632 B634:F656 B657:H676 G97:H99 G205:H207 G289:H291 C346:D348 G373:H375 E475:F477 G565:H567 G21:H22 G41:H42 G149:H150 G155:H156 G183:H184 G189:H190 G327:H328 G429:H430 G611:H612 G627:H628 C679:D680 B706:H720 B721:C723 C682:D705 D23:H25 D209:F221 D224:F238 D240:F245 D369:F418 D606:H607 D608:F609 G44:H45 G66:H67 G186:H187 E222:F223 G262:H263 G298:H299 G330:H331 G334:H335 G364:H365 G640:H641 D721:H723 E10:H18 G432:H443 E444:F455 G588:H599 E350:F367 G494:H516 E424:F442 G69:H72 G109:H112 G293:H296 G601:H604 E620:F627 G47:H55 G105:H107 G252:H254 G630:H632 G84:H90 G92:H94 G116:H124 G126:H140 G166:H170 G241:H245 G321:H325 G556:H560 G142:H147 G158:H162 G172:H181 G211:H229 G231:H239 G267:H272 G276:H286 G312:H319 G337:H345 G401:H409 G617:H625 G354:H362 G424:H427 G452:H455 G377:H394 G411:H417 G445:H449 G478:H493 I2:IT5 I606:IT609 I28:IT29 I456:IT457 G643:H655 I56:IT63 I100:IT104 I21:IT22 I247:IT248 I419:IT420 I585:IT586 I611:IT612 I256:IT260 I261:IT265 I556:IT560 I152:IT154 I561:IT564 I657:IT676 I706:IT720 I588:IT604 I565:IT567 I721:IT723 I478:IT493 I6:IT20 I23:IT27 I30:IT55 I105:IT114 I155:IT164 I64:IT99 I116:IT151 I166:IT207 I209:IT246 I249:IT255 I267:IT418 I421:IT455 I469:IT477 I494:IT555 I568:IT583 I677:IT705 A724:C65677 D724:H65677 I724:IT65677"/>
    <dataValidation type="list" allowBlank="1" showInputMessage="1" showErrorMessage="1" sqref="B478 B558 B555:B556">
      <formula1>"干副类,蔬菜类,油类,豆制品类,肉类,糕点牛奶类,水果类,食堂用具类,禽蛋类,面制品类,水产冻货类,米面类,调料类"</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86178</dc:creator>
  <cp:lastModifiedBy>许愿</cp:lastModifiedBy>
  <dcterms:created xsi:type="dcterms:W3CDTF">2026-03-13T11:32:00Z</dcterms:created>
  <dcterms:modified xsi:type="dcterms:W3CDTF">2026-03-15T10:51:26Z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D1B53963A9A94BAE896EC1B5E2163273_13</vt:lpwstr>
  </property>
  <property fmtid="{D5CDD505-2E9C-101B-9397-08002B2CF9AE}" pid="3" name="KSOProductBuildVer">
    <vt:lpwstr>2052-12.1.0.25225</vt:lpwstr>
  </property>
  <property fmtid="{D5CDD505-2E9C-101B-9397-08002B2CF9AE}" pid="4" name="CalculationRule">
    <vt:i4>1</vt:i4>
  </property>
  <property fmtid="{D5CDD505-2E9C-101B-9397-08002B2CF9AE}" pid="5" name="KSOReadingLayout">
    <vt:bool>true</vt:bool>
  </property>
</Properties>
</file>