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2025年10月前暂扣燃油摩托车" sheetId="4" r:id="rId1"/>
    <sheet name="2025年10月前暂扣电动车" sheetId="5" r:id="rId2"/>
    <sheet name="2025年10月前暂扣小型汽车" sheetId="6" r:id="rId3"/>
  </sheets>
  <definedNames>
    <definedName name="_xlnm._FilterDatabase" localSheetId="0" hidden="1">'2025年10月前暂扣燃油摩托车'!$A$2:$J$238</definedName>
    <definedName name="_xlnm._FilterDatabase" localSheetId="1" hidden="1">'2025年10月前暂扣电动车'!$A$2:$J$82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<sst xmlns="http://schemas.openxmlformats.org/spreadsheetml/2006/main" count="1650" uniqueCount="353">
  <si>
    <t>2025年10月31日前潼南区公安局暂扣拖移燃油两三轮摩托事故车辆、违法车辆、僵尸车241辆统计表</t>
  </si>
  <si>
    <t>编号</t>
  </si>
  <si>
    <t>年</t>
  </si>
  <si>
    <t>月</t>
  </si>
  <si>
    <t>日</t>
  </si>
  <si>
    <t>车牌号</t>
  </si>
  <si>
    <t>进场图片</t>
  </si>
  <si>
    <t>车型</t>
  </si>
  <si>
    <t>扣车类型</t>
  </si>
  <si>
    <t>扣车部门</t>
  </si>
  <si>
    <t>拖移地点</t>
  </si>
  <si>
    <t>备注</t>
  </si>
  <si>
    <t>雅马哈无牌</t>
  </si>
  <si>
    <t xml:space="preserve"> 燃油摩托车</t>
  </si>
  <si>
    <t>事故车</t>
  </si>
  <si>
    <t>城区大队</t>
  </si>
  <si>
    <t>潼南城区</t>
  </si>
  <si>
    <t>无牌</t>
  </si>
  <si>
    <t>川MAY370</t>
  </si>
  <si>
    <t>双江大队</t>
  </si>
  <si>
    <t>崇龛</t>
  </si>
  <si>
    <t>三轮摩托车</t>
  </si>
  <si>
    <t>塘坝大队</t>
  </si>
  <si>
    <t>渝DB3666</t>
  </si>
  <si>
    <t>事故大队</t>
  </si>
  <si>
    <t>渝CRS216</t>
  </si>
  <si>
    <t>违法车</t>
  </si>
  <si>
    <t>越秀天辰</t>
  </si>
  <si>
    <t>渝CRL085</t>
  </si>
  <si>
    <t>渝CRS106</t>
  </si>
  <si>
    <t xml:space="preserve">御景江山 </t>
  </si>
  <si>
    <t>铃木无牌</t>
  </si>
  <si>
    <t>五羊无牌</t>
  </si>
  <si>
    <t>先锋无牌</t>
  </si>
  <si>
    <t>柏树坪</t>
  </si>
  <si>
    <t>汇达柠檬</t>
  </si>
  <si>
    <t>渝D3N510</t>
  </si>
  <si>
    <t xml:space="preserve">田家 </t>
  </si>
  <si>
    <t>渝CRX287</t>
  </si>
  <si>
    <t xml:space="preserve">老城老法院 </t>
  </si>
  <si>
    <t>渝CRY123</t>
  </si>
  <si>
    <t>渝D5S15L</t>
  </si>
  <si>
    <t>左岸春天</t>
  </si>
  <si>
    <t>江北交通管</t>
  </si>
  <si>
    <t>新捷无牌</t>
  </si>
  <si>
    <t>灯具城红绿灯</t>
  </si>
  <si>
    <t>渝CSB523</t>
  </si>
  <si>
    <t xml:space="preserve">太平头滩村 </t>
  </si>
  <si>
    <t>体育馆</t>
  </si>
  <si>
    <t xml:space="preserve">蔬菜公园 </t>
  </si>
  <si>
    <t>渝CB5088</t>
  </si>
  <si>
    <t>塘坝</t>
  </si>
  <si>
    <t>渝C2J688</t>
  </si>
  <si>
    <t>五征金玉虎</t>
  </si>
  <si>
    <t>卧佛</t>
  </si>
  <si>
    <t>FJ815</t>
  </si>
  <si>
    <t>双江文家</t>
  </si>
  <si>
    <t>金田路</t>
  </si>
  <si>
    <t>潼古酒厂</t>
  </si>
  <si>
    <t>悦秀天城</t>
  </si>
  <si>
    <t>渝CRW999</t>
  </si>
  <si>
    <t>莲花西路</t>
  </si>
  <si>
    <t>渝CBC217</t>
  </si>
  <si>
    <t>渝CRU063</t>
  </si>
  <si>
    <t>川MLL619</t>
  </si>
  <si>
    <t>小渡</t>
  </si>
  <si>
    <t>柏梓</t>
  </si>
  <si>
    <t>渝C7C903</t>
  </si>
  <si>
    <t>江北汽车站</t>
  </si>
  <si>
    <t>交管支队</t>
  </si>
  <si>
    <t>汽车站后面</t>
  </si>
  <si>
    <t>渝AAW102</t>
  </si>
  <si>
    <t>柠檬厂</t>
  </si>
  <si>
    <t>渝CRL239</t>
  </si>
  <si>
    <t>渝D53A01</t>
  </si>
  <si>
    <t>一中下面</t>
  </si>
  <si>
    <t>渝C0J367</t>
  </si>
  <si>
    <t xml:space="preserve">双江 </t>
  </si>
  <si>
    <t xml:space="preserve">潼南中学门口 </t>
  </si>
  <si>
    <t>渝C0J291</t>
  </si>
  <si>
    <t>涪江大桥</t>
  </si>
  <si>
    <t>渝C6C168</t>
  </si>
  <si>
    <t>东升</t>
  </si>
  <si>
    <t>悦秀天成</t>
  </si>
  <si>
    <t>汽车客运总站</t>
  </si>
  <si>
    <t>5T925</t>
  </si>
  <si>
    <t>柏梓李家勾</t>
  </si>
  <si>
    <t>渝C57J07</t>
  </si>
  <si>
    <t>建设无牌</t>
  </si>
  <si>
    <t>五湖西海</t>
  </si>
  <si>
    <t>众星无牌</t>
  </si>
  <si>
    <t>幸福苑路口</t>
  </si>
  <si>
    <t>渝C000A5</t>
  </si>
  <si>
    <t>古溪大队</t>
  </si>
  <si>
    <t>古溪熊家村</t>
  </si>
  <si>
    <t>川MP8873</t>
  </si>
  <si>
    <t>太安方向</t>
  </si>
  <si>
    <t>渝D02J65</t>
  </si>
  <si>
    <t>塘坝镇蜂子嘴</t>
  </si>
  <si>
    <t>大佛中学</t>
  </si>
  <si>
    <t>渝C9T357</t>
  </si>
  <si>
    <t xml:space="preserve">一品轩 </t>
  </si>
  <si>
    <t>百米大道</t>
  </si>
  <si>
    <t>川JC9997</t>
  </si>
  <si>
    <t>渝C1C659</t>
  </si>
  <si>
    <t xml:space="preserve">拧檬厂 </t>
  </si>
  <si>
    <t>本田无牌</t>
  </si>
  <si>
    <t>人行桥北</t>
  </si>
  <si>
    <t>渝CNL353</t>
  </si>
  <si>
    <t>五桂</t>
  </si>
  <si>
    <t>宗申无牌</t>
  </si>
  <si>
    <t>火车站</t>
  </si>
  <si>
    <t>柏梓老桥头</t>
  </si>
  <si>
    <t>渝CF5869</t>
  </si>
  <si>
    <t>报废车</t>
  </si>
  <si>
    <t>上和</t>
  </si>
  <si>
    <t>川MS7720</t>
  </si>
  <si>
    <t>江北火车站</t>
  </si>
  <si>
    <t>VK150</t>
  </si>
  <si>
    <t>柏梓陈家院子</t>
  </si>
  <si>
    <t>钱江无牌</t>
  </si>
  <si>
    <t>五湖四海</t>
  </si>
  <si>
    <t>渝BF7769</t>
  </si>
  <si>
    <t>台铃无牌</t>
  </si>
  <si>
    <t>川JE0476</t>
  </si>
  <si>
    <t>渝C8C777</t>
  </si>
  <si>
    <t>蓝色无牌</t>
  </si>
  <si>
    <t>江北鸿铭春天</t>
  </si>
  <si>
    <t>宗虎无牌</t>
  </si>
  <si>
    <t>汽车站</t>
  </si>
  <si>
    <t>大运无牌</t>
  </si>
  <si>
    <t>铃田光阳</t>
  </si>
  <si>
    <t>莲花北桥头</t>
  </si>
  <si>
    <t>紫云府</t>
  </si>
  <si>
    <t>渝AD5005</t>
  </si>
  <si>
    <t>古溪交警队</t>
  </si>
  <si>
    <t>YB125T</t>
  </si>
  <si>
    <t>渝CSJ892</t>
  </si>
  <si>
    <t>三汇街上</t>
  </si>
  <si>
    <t>金伙伴</t>
  </si>
  <si>
    <t>滨江路</t>
  </si>
  <si>
    <t>接龙桥转盘</t>
  </si>
  <si>
    <t xml:space="preserve">外滩 </t>
  </si>
  <si>
    <t>豪爵无牌</t>
  </si>
  <si>
    <t>渝C8F838</t>
  </si>
  <si>
    <t>渝A7397X</t>
  </si>
  <si>
    <t>滨江路拖</t>
  </si>
  <si>
    <t>渝CRU561</t>
  </si>
  <si>
    <t>江北人行桥</t>
  </si>
  <si>
    <t>益阳金城无牌</t>
  </si>
  <si>
    <t>宇钻无牌</t>
  </si>
  <si>
    <t>闽G5X635</t>
  </si>
  <si>
    <t>渝DIY931</t>
  </si>
  <si>
    <t>渝DB9864</t>
  </si>
  <si>
    <t>田家养鸡场</t>
  </si>
  <si>
    <t>渝ARA926</t>
  </si>
  <si>
    <t>帝安公司</t>
  </si>
  <si>
    <t>嘉陵无牌</t>
  </si>
  <si>
    <t>川JE8476</t>
  </si>
  <si>
    <t>莲花大桥北</t>
  </si>
  <si>
    <t>骑警大队</t>
  </si>
  <si>
    <t>渝C9C226</t>
  </si>
  <si>
    <t>莲花西路194号</t>
  </si>
  <si>
    <t>渝C5J695</t>
  </si>
  <si>
    <t>江北汽车站红绿灯</t>
  </si>
  <si>
    <t>渝C6C936</t>
  </si>
  <si>
    <t>人行桥北桥头</t>
  </si>
  <si>
    <t>拧檬厂</t>
  </si>
  <si>
    <t>晶鹰无牌</t>
  </si>
  <si>
    <t>珠峰无牌</t>
  </si>
  <si>
    <t>渝CRK618</t>
  </si>
  <si>
    <t>新感觉无牌</t>
  </si>
  <si>
    <t>路翔无牌</t>
  </si>
  <si>
    <t>御景江山</t>
  </si>
  <si>
    <t>渝C60J25</t>
  </si>
  <si>
    <t>小渡至复兴</t>
  </si>
  <si>
    <t>渝DC379N</t>
  </si>
  <si>
    <t>华城名都</t>
  </si>
  <si>
    <t>川AG56786</t>
  </si>
  <si>
    <t>独田村村民委员会</t>
  </si>
  <si>
    <t>渝C2J119</t>
  </si>
  <si>
    <t>佳兴花园</t>
  </si>
  <si>
    <t>渝CF6723</t>
  </si>
  <si>
    <t>文明尹坝村</t>
  </si>
  <si>
    <t>渝CRZ159</t>
  </si>
  <si>
    <t>汇达拧檬厂</t>
  </si>
  <si>
    <t>渝CS1381</t>
  </si>
  <si>
    <t>渝CJF709</t>
  </si>
  <si>
    <t>渝C6F712</t>
  </si>
  <si>
    <t>渝C6C662</t>
  </si>
  <si>
    <t>渝CRY035</t>
  </si>
  <si>
    <t>渝DU4751</t>
  </si>
  <si>
    <t>渝C3F818</t>
  </si>
  <si>
    <t>渝CF2619</t>
  </si>
  <si>
    <t>青石小学校</t>
  </si>
  <si>
    <t>渝C3B873</t>
  </si>
  <si>
    <t>太和</t>
  </si>
  <si>
    <t>渝DGD951</t>
  </si>
  <si>
    <t>公安局</t>
  </si>
  <si>
    <t>万强无牌</t>
  </si>
  <si>
    <t xml:space="preserve">百爵世家 </t>
  </si>
  <si>
    <t>川J382B1</t>
  </si>
  <si>
    <t>新华事故</t>
  </si>
  <si>
    <t>渝C08J77</t>
  </si>
  <si>
    <t>北桥头</t>
  </si>
  <si>
    <t>渝CF9263</t>
  </si>
  <si>
    <t>江北万达</t>
  </si>
  <si>
    <t>川JAG980</t>
  </si>
  <si>
    <t>涪江大桥南桥头</t>
  </si>
  <si>
    <t>渝C6J323</t>
  </si>
  <si>
    <t>闽BRK251</t>
  </si>
  <si>
    <t>云海蓝湾三期</t>
  </si>
  <si>
    <t xml:space="preserve">五桂 </t>
  </si>
  <si>
    <t>渝C8J002</t>
  </si>
  <si>
    <t>茶店</t>
  </si>
  <si>
    <t>太和高速路桥下</t>
  </si>
  <si>
    <t>渝C8T929</t>
  </si>
  <si>
    <t>渝CPL256</t>
  </si>
  <si>
    <t>HJ150-26</t>
  </si>
  <si>
    <t>渝C0J228</t>
  </si>
  <si>
    <t>渝C6J790</t>
  </si>
  <si>
    <t>太安</t>
  </si>
  <si>
    <t>川J8733A</t>
  </si>
  <si>
    <t>渝C8T297</t>
  </si>
  <si>
    <t xml:space="preserve">滨江路 </t>
  </si>
  <si>
    <t>渝D9B735</t>
  </si>
  <si>
    <t>凉风垭加气站路口</t>
  </si>
  <si>
    <t>渝D09R55</t>
  </si>
  <si>
    <t>钱江龙无牌</t>
  </si>
  <si>
    <t>田家</t>
  </si>
  <si>
    <t>渝CRJ591</t>
  </si>
  <si>
    <t>柏梓到崇龛路上</t>
  </si>
  <si>
    <t xml:space="preserve">公安局 </t>
  </si>
  <si>
    <t>渝BDD190</t>
  </si>
  <si>
    <t>五桂派出所</t>
  </si>
  <si>
    <t>2025年10月以前无人认领车辆</t>
  </si>
  <si>
    <t>卧佛派出所</t>
  </si>
  <si>
    <t>田家派出所</t>
  </si>
  <si>
    <t>川K83M29</t>
  </si>
  <si>
    <t>寿桥派出所</t>
  </si>
  <si>
    <t>寿桥</t>
  </si>
  <si>
    <t>川FV6287</t>
  </si>
  <si>
    <t>渝CFV165</t>
  </si>
  <si>
    <t>渝C2J609</t>
  </si>
  <si>
    <t>群力派出所</t>
  </si>
  <si>
    <t>群力</t>
  </si>
  <si>
    <t>花岩派出所</t>
  </si>
  <si>
    <t>花岩</t>
  </si>
  <si>
    <t>川J2F157</t>
  </si>
  <si>
    <t>渝C95J55</t>
  </si>
  <si>
    <t>古溪派出所</t>
  </si>
  <si>
    <t>古溪</t>
  </si>
  <si>
    <t>渝D17J11</t>
  </si>
  <si>
    <t>别口派出所</t>
  </si>
  <si>
    <t>别口</t>
  </si>
  <si>
    <t>闽GT9424</t>
  </si>
  <si>
    <t>渝FK3169</t>
  </si>
  <si>
    <t>渝C5J396</t>
  </si>
  <si>
    <t>渝CF8817</t>
  </si>
  <si>
    <t>柏梓派出所</t>
  </si>
  <si>
    <t>2025年10月31日前潼南区公安局暂扣拖移电动两三轮、四轮事故车辆、违法车辆、僵尸车80辆统计表</t>
  </si>
  <si>
    <t>渝DYB115</t>
  </si>
  <si>
    <t>电动两轮车</t>
  </si>
  <si>
    <t>航电公园</t>
  </si>
  <si>
    <t>雅迪无牌</t>
  </si>
  <si>
    <t>渝AM988W</t>
  </si>
  <si>
    <t>公园世家</t>
  </si>
  <si>
    <t>电动三轮车</t>
  </si>
  <si>
    <t>康安小区</t>
  </si>
  <si>
    <t>安尔达无牌</t>
  </si>
  <si>
    <t>江北华夏城</t>
  </si>
  <si>
    <t>功华无牌</t>
  </si>
  <si>
    <t>渝D1V679</t>
  </si>
  <si>
    <t>学府春天公交站</t>
  </si>
  <si>
    <t>江北城市管理局</t>
  </si>
  <si>
    <t>渝AX6716</t>
  </si>
  <si>
    <t>奇蕾无牌</t>
  </si>
  <si>
    <t>渝A5J791</t>
  </si>
  <si>
    <t>彭家坝</t>
  </si>
  <si>
    <t>五星钻豹</t>
  </si>
  <si>
    <t>时代广场</t>
  </si>
  <si>
    <t>伊格玛无牌</t>
  </si>
  <si>
    <t>檬子</t>
  </si>
  <si>
    <t>凱渝无牌</t>
  </si>
  <si>
    <t>百花村</t>
  </si>
  <si>
    <t>蜀宇无牌</t>
  </si>
  <si>
    <t>莲花大桥南桥头</t>
  </si>
  <si>
    <t>绿佳无牌</t>
  </si>
  <si>
    <t>迪申无牌</t>
  </si>
  <si>
    <t>宝岛无牌</t>
  </si>
  <si>
    <t>红色无牌</t>
  </si>
  <si>
    <t>京豹无牌</t>
  </si>
  <si>
    <t>田塘路</t>
  </si>
  <si>
    <t>飞雕无牌</t>
  </si>
  <si>
    <t>太安方向大屋基</t>
  </si>
  <si>
    <t>华夏城</t>
  </si>
  <si>
    <t>DAYUN无牌</t>
  </si>
  <si>
    <t>渝AWE611</t>
  </si>
  <si>
    <t>渝D1U30</t>
  </si>
  <si>
    <t>巴渝大道</t>
  </si>
  <si>
    <t>渝A0Q876</t>
  </si>
  <si>
    <t>柏梓医院叉路口</t>
  </si>
  <si>
    <t>渝AWJ743</t>
  </si>
  <si>
    <t>渝D15062</t>
  </si>
  <si>
    <t>信步无牌</t>
  </si>
  <si>
    <t>电动四轮车</t>
  </si>
  <si>
    <t>汇达拧檬</t>
  </si>
  <si>
    <t>渝AP597G</t>
  </si>
  <si>
    <t>滨江一号</t>
  </si>
  <si>
    <t>政宇无牌</t>
  </si>
  <si>
    <t>渝D35938</t>
  </si>
  <si>
    <t>桂林河边</t>
  </si>
  <si>
    <t>王湖四海</t>
  </si>
  <si>
    <t>黑色无牌</t>
  </si>
  <si>
    <t>江北华逸酒店</t>
  </si>
  <si>
    <t>大将无牌</t>
  </si>
  <si>
    <t>世纪雄风无牌</t>
  </si>
  <si>
    <t>渝C2J170</t>
  </si>
  <si>
    <t>花厅83</t>
  </si>
  <si>
    <t>GEELY无牌</t>
  </si>
  <si>
    <t>一中</t>
  </si>
  <si>
    <t>小舟村</t>
  </si>
  <si>
    <t>二小</t>
  </si>
  <si>
    <t>渝DE6601</t>
  </si>
  <si>
    <t>恒大</t>
  </si>
  <si>
    <t>渝AWE745</t>
  </si>
  <si>
    <t>川XFE716</t>
  </si>
  <si>
    <t>产业大道</t>
  </si>
  <si>
    <t>向鹰无牌</t>
  </si>
  <si>
    <t>双胜无牌</t>
  </si>
  <si>
    <t>柏梓医院</t>
  </si>
  <si>
    <t>绿驹电动无牌</t>
  </si>
  <si>
    <t>双江电站</t>
  </si>
  <si>
    <t>科臣无牌</t>
  </si>
  <si>
    <t>姚市</t>
  </si>
  <si>
    <t>PAD87666</t>
  </si>
  <si>
    <t>倍特无牌</t>
  </si>
  <si>
    <t>奋进广场</t>
  </si>
  <si>
    <t>渝DGT580</t>
  </si>
  <si>
    <t>黑弯</t>
  </si>
  <si>
    <t>朱家19无牌</t>
  </si>
  <si>
    <t>柏梓大桥</t>
  </si>
  <si>
    <t>渝DD505M</t>
  </si>
  <si>
    <t>永冠无牌</t>
  </si>
  <si>
    <t>重庆功华无牌</t>
  </si>
  <si>
    <t>爱玛无牌</t>
  </si>
  <si>
    <t>潼吉酒厂</t>
  </si>
  <si>
    <t>风爵无牌</t>
  </si>
  <si>
    <t>新华镇上</t>
  </si>
  <si>
    <t>2025年10月31日前潼南区公安局暂扣拖移小型汽车1辆统计表</t>
  </si>
  <si>
    <t>川J7095Z</t>
  </si>
  <si>
    <t>小型汽车</t>
  </si>
  <si>
    <t>僵尸车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</si>
</sst>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name val="标准粗黑"/>
      <charset val="134"/>
    </font>
    <font>
      <b/>
      <sz val="11"/>
      <color theme="1"/>
      <name val="楷体"/>
      <charset val="134"/>
    </font>
    <font>
      <b/>
      <sz val="12"/>
      <color theme="1"/>
      <name val="楷体"/>
      <charset val="134"/>
    </font>
    <font>
      <b/>
      <sz val="11"/>
      <name val="楷体"/>
      <charset val="134"/>
    </font>
    <font>
      <b/>
      <sz val="10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8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9">
      <alignment vertical="center"/>
    </xf>
    <xf numFmtId="0" fontId="13" fillId="0" borderId="9">
      <alignment vertical="center"/>
    </xf>
    <xf numFmtId="0" fontId="14" fillId="0" borderId="10">
      <alignment vertical="center"/>
    </xf>
    <xf numFmtId="0" fontId="14" fillId="0" borderId="0">
      <alignment vertical="center"/>
    </xf>
    <xf numFmtId="0" fontId="15" fillId="3" borderId="11">
      <alignment vertical="center"/>
    </xf>
    <xf numFmtId="0" fontId="16" fillId="4" borderId="12">
      <alignment vertical="center"/>
    </xf>
    <xf numFmtId="0" fontId="17" fillId="4" borderId="11">
      <alignment vertical="center"/>
    </xf>
    <xf numFmtId="0" fontId="18" fillId="5" borderId="13">
      <alignment vertical="center"/>
    </xf>
    <xf numFmtId="0" fontId="19" fillId="0" borderId="14">
      <alignment vertical="center"/>
    </xf>
    <xf numFmtId="0" fontId="20" fillId="0" borderId="15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8"/>
  <sheetViews>
    <sheetView tabSelected="1" topLeftCell="A4" workbookViewId="0">
      <selection activeCell="A239" sqref="$A239:$XFD1048576"/>
    </sheetView>
  </sheetViews>
  <sheetFormatPr defaultColWidth="9" defaultRowHeight="57" customHeight="1"/>
  <cols>
    <col min="1" max="2" width="5.625" customWidth="1"/>
    <col min="3" max="3" width="4.875" customWidth="1"/>
    <col min="4" max="4" width="4.75" customWidth="1"/>
    <col min="5" max="5" width="12.75" customWidth="1"/>
    <col min="6" max="6" width="10.25" customWidth="1"/>
    <col min="7" max="7" width="12" customWidth="1"/>
    <col min="8" max="8" width="11.75" customWidth="1"/>
    <col min="9" max="9" width="12.75" style="5" customWidth="1"/>
    <col min="10" max="10" width="16.75" customWidth="1"/>
    <col min="11" max="11" width="12.375" customWidth="1"/>
  </cols>
  <sheetData>
    <row r="1" s="17" customFormat="1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7" customFormat="1" customHeight="1" spans="1:11">
      <c r="A2" s="11" t="s">
        <v>1</v>
      </c>
      <c r="B2" s="11" t="s">
        <v>2</v>
      </c>
      <c r="C2" s="4" t="s">
        <v>3</v>
      </c>
      <c r="D2" s="4" t="s">
        <v>4</v>
      </c>
      <c r="E2" s="18" t="s">
        <v>5</v>
      </c>
      <c r="F2" s="19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s="17" customFormat="1" customHeight="1" spans="1:11">
      <c r="A3" s="4">
        <v>1</v>
      </c>
      <c r="B3" s="4">
        <v>2025</v>
      </c>
      <c r="C3" s="4">
        <v>1</v>
      </c>
      <c r="D3" s="4">
        <v>3</v>
      </c>
      <c r="E3" s="12" t="s">
        <v>12</v>
      </c>
      <c r="F3" s="20" t="str">
        <f>_xlfn.DISPIMG("ID_0F2CA5634A554299BACB2BFE11F11FC5",1)</f>
        <v>=DISPIMG("ID_0F2CA5634A554299BACB2BFE11F11FC5",1)</v>
      </c>
      <c r="G3" s="13" t="s">
        <v>13</v>
      </c>
      <c r="H3" s="12" t="s">
        <v>14</v>
      </c>
      <c r="I3" s="12" t="s">
        <v>15</v>
      </c>
      <c r="J3" s="12" t="s">
        <v>16</v>
      </c>
      <c r="K3" s="11"/>
    </row>
    <row r="4" s="17" customFormat="1" customHeight="1" spans="1:11">
      <c r="A4" s="4">
        <v>2</v>
      </c>
      <c r="B4" s="4">
        <v>2025</v>
      </c>
      <c r="C4" s="12">
        <v>1</v>
      </c>
      <c r="D4" s="12">
        <v>4</v>
      </c>
      <c r="E4" s="12" t="s">
        <v>17</v>
      </c>
      <c r="F4" s="21" t="str">
        <f>_xlfn.DISPIMG("ID_E80F50306D9C472C9BC0DB84D16FE027",1)</f>
        <v>=DISPIMG("ID_E80F50306D9C472C9BC0DB84D16FE027",1)</v>
      </c>
      <c r="G4" s="13" t="s">
        <v>13</v>
      </c>
      <c r="H4" s="12" t="s">
        <v>14</v>
      </c>
      <c r="I4" s="12" t="s">
        <v>15</v>
      </c>
      <c r="J4" s="12" t="s">
        <v>16</v>
      </c>
      <c r="K4" s="11"/>
    </row>
    <row r="5" s="17" customFormat="1" customHeight="1" spans="1:11">
      <c r="A5" s="4">
        <v>3</v>
      </c>
      <c r="B5" s="4">
        <v>2025</v>
      </c>
      <c r="C5" s="12">
        <v>1</v>
      </c>
      <c r="D5" s="12">
        <v>5</v>
      </c>
      <c r="E5" s="12" t="s">
        <v>18</v>
      </c>
      <c r="F5" s="21" t="str">
        <f>_xlfn.DISPIMG("ID_CFCFB6EEABDE4BAFADE0446C9F143B55",1)</f>
        <v>=DISPIMG("ID_CFCFB6EEABDE4BAFADE0446C9F143B55",1)</v>
      </c>
      <c r="G5" s="13" t="s">
        <v>13</v>
      </c>
      <c r="H5" s="12" t="s">
        <v>14</v>
      </c>
      <c r="I5" s="12" t="s">
        <v>19</v>
      </c>
      <c r="J5" s="12" t="s">
        <v>20</v>
      </c>
      <c r="K5" s="11"/>
    </row>
    <row r="6" s="17" customFormat="1" customHeight="1" spans="1:11">
      <c r="A6" s="4">
        <v>4</v>
      </c>
      <c r="B6" s="4">
        <v>2025</v>
      </c>
      <c r="C6" s="12">
        <v>1</v>
      </c>
      <c r="D6" s="12">
        <v>5</v>
      </c>
      <c r="E6" s="12" t="s">
        <v>17</v>
      </c>
      <c r="F6" s="21" t="str">
        <f>_xlfn.DISPIMG("ID_BFFDC94615F549AB95A55E1DBDE6E63D",1)</f>
        <v>=DISPIMG("ID_BFFDC94615F549AB95A55E1DBDE6E63D",1)</v>
      </c>
      <c r="G6" s="13" t="s">
        <v>21</v>
      </c>
      <c r="H6" s="12" t="s">
        <v>14</v>
      </c>
      <c r="I6" s="12" t="s">
        <v>22</v>
      </c>
      <c r="J6" s="12" t="s">
        <v>16</v>
      </c>
      <c r="K6" s="11"/>
    </row>
    <row r="7" s="17" customFormat="1" customHeight="1" spans="1:11">
      <c r="A7" s="4">
        <v>5</v>
      </c>
      <c r="B7" s="4">
        <v>2025</v>
      </c>
      <c r="C7" s="12">
        <v>1</v>
      </c>
      <c r="D7" s="12">
        <v>11</v>
      </c>
      <c r="E7" s="12" t="s">
        <v>23</v>
      </c>
      <c r="F7" s="21" t="str">
        <f>_xlfn.DISPIMG("ID_1F523DE54AF940F680F51C878FD2E1FC",1)</f>
        <v>=DISPIMG("ID_1F523DE54AF940F680F51C878FD2E1FC",1)</v>
      </c>
      <c r="G7" s="13" t="s">
        <v>13</v>
      </c>
      <c r="H7" s="12" t="s">
        <v>14</v>
      </c>
      <c r="I7" s="12" t="s">
        <v>24</v>
      </c>
      <c r="J7" s="12" t="s">
        <v>16</v>
      </c>
      <c r="K7" s="11"/>
    </row>
    <row r="8" s="17" customFormat="1" customHeight="1" spans="1:11">
      <c r="A8" s="4">
        <v>6</v>
      </c>
      <c r="B8" s="4">
        <v>2025</v>
      </c>
      <c r="C8" s="12">
        <v>1</v>
      </c>
      <c r="D8" s="12">
        <v>13</v>
      </c>
      <c r="E8" s="12" t="s">
        <v>25</v>
      </c>
      <c r="F8" s="21" t="str">
        <f>_xlfn.DISPIMG("ID_4635C2EAC36646A7836A76E52E10EA12",1)</f>
        <v>=DISPIMG("ID_4635C2EAC36646A7836A76E52E10EA12",1)</v>
      </c>
      <c r="G8" s="13" t="s">
        <v>13</v>
      </c>
      <c r="H8" s="12" t="s">
        <v>26</v>
      </c>
      <c r="I8" s="12" t="s">
        <v>15</v>
      </c>
      <c r="J8" s="12" t="s">
        <v>27</v>
      </c>
      <c r="K8" s="11"/>
    </row>
    <row r="9" s="17" customFormat="1" customHeight="1" spans="1:11">
      <c r="A9" s="4">
        <v>7</v>
      </c>
      <c r="B9" s="4">
        <v>2025</v>
      </c>
      <c r="C9" s="12">
        <v>1</v>
      </c>
      <c r="D9" s="12">
        <v>13</v>
      </c>
      <c r="E9" s="12" t="s">
        <v>17</v>
      </c>
      <c r="F9" s="21" t="str">
        <f>_xlfn.DISPIMG("ID_8E883738391D4A08A48C85A0CDBBA052",1)</f>
        <v>=DISPIMG("ID_8E883738391D4A08A48C85A0CDBBA052",1)</v>
      </c>
      <c r="G9" s="13" t="s">
        <v>13</v>
      </c>
      <c r="H9" s="12" t="s">
        <v>26</v>
      </c>
      <c r="I9" s="12" t="s">
        <v>15</v>
      </c>
      <c r="J9" s="12" t="s">
        <v>27</v>
      </c>
      <c r="K9" s="11"/>
    </row>
    <row r="10" s="17" customFormat="1" customHeight="1" spans="1:11">
      <c r="A10" s="4">
        <v>8</v>
      </c>
      <c r="B10" s="4">
        <v>2025</v>
      </c>
      <c r="C10" s="12">
        <v>1</v>
      </c>
      <c r="D10" s="12">
        <v>13</v>
      </c>
      <c r="E10" s="12" t="s">
        <v>28</v>
      </c>
      <c r="F10" s="21" t="str">
        <f>_xlfn.DISPIMG("ID_0C538F321A564F409516D3A0ADE855AD",1)</f>
        <v>=DISPIMG("ID_0C538F321A564F409516D3A0ADE855AD",1)</v>
      </c>
      <c r="G10" s="13" t="s">
        <v>13</v>
      </c>
      <c r="H10" s="12" t="s">
        <v>26</v>
      </c>
      <c r="I10" s="12" t="s">
        <v>15</v>
      </c>
      <c r="J10" s="12" t="s">
        <v>27</v>
      </c>
      <c r="K10" s="11"/>
    </row>
    <row r="11" s="17" customFormat="1" customHeight="1" spans="1:11">
      <c r="A11" s="4">
        <v>9</v>
      </c>
      <c r="B11" s="4">
        <v>2025</v>
      </c>
      <c r="C11" s="12">
        <v>1</v>
      </c>
      <c r="D11" s="12">
        <v>13</v>
      </c>
      <c r="E11" s="12" t="s">
        <v>17</v>
      </c>
      <c r="F11" s="21" t="str">
        <f>_xlfn.DISPIMG("ID_7E914E7CF6DA4E31A4A899B072D75F25",1)</f>
        <v>=DISPIMG("ID_7E914E7CF6DA4E31A4A899B072D75F25",1)</v>
      </c>
      <c r="G11" s="13" t="s">
        <v>13</v>
      </c>
      <c r="H11" s="12" t="s">
        <v>26</v>
      </c>
      <c r="I11" s="12" t="s">
        <v>15</v>
      </c>
      <c r="J11" s="12" t="s">
        <v>27</v>
      </c>
      <c r="K11" s="11"/>
    </row>
    <row r="12" s="17" customFormat="1" customHeight="1" spans="1:11">
      <c r="A12" s="4">
        <v>10</v>
      </c>
      <c r="B12" s="4">
        <v>2025</v>
      </c>
      <c r="C12" s="12">
        <v>1</v>
      </c>
      <c r="D12" s="12">
        <v>13</v>
      </c>
      <c r="E12" s="12" t="s">
        <v>29</v>
      </c>
      <c r="F12" s="21" t="str">
        <f>_xlfn.DISPIMG("ID_3BF0B91477394AF68D5D1F0A7D899620",1)</f>
        <v>=DISPIMG("ID_3BF0B91477394AF68D5D1F0A7D899620",1)</v>
      </c>
      <c r="G12" s="13" t="s">
        <v>13</v>
      </c>
      <c r="H12" s="12" t="s">
        <v>26</v>
      </c>
      <c r="I12" s="12" t="s">
        <v>15</v>
      </c>
      <c r="J12" s="12" t="s">
        <v>30</v>
      </c>
      <c r="K12" s="11"/>
    </row>
    <row r="13" s="17" customFormat="1" customHeight="1" spans="1:11">
      <c r="A13" s="4">
        <v>11</v>
      </c>
      <c r="B13" s="4">
        <v>2025</v>
      </c>
      <c r="C13" s="12">
        <v>1</v>
      </c>
      <c r="D13" s="12">
        <v>13</v>
      </c>
      <c r="E13" s="12" t="s">
        <v>31</v>
      </c>
      <c r="F13" s="21" t="str">
        <f>_xlfn.DISPIMG("ID_CD2D84FD7A9F4DBBAEDD3CA7F44A48EA",1)</f>
        <v>=DISPIMG("ID_CD2D84FD7A9F4DBBAEDD3CA7F44A48EA",1)</v>
      </c>
      <c r="G13" s="13" t="s">
        <v>13</v>
      </c>
      <c r="H13" s="12" t="s">
        <v>26</v>
      </c>
      <c r="I13" s="12" t="s">
        <v>15</v>
      </c>
      <c r="J13" s="12" t="s">
        <v>30</v>
      </c>
      <c r="K13" s="11"/>
    </row>
    <row r="14" s="17" customFormat="1" customHeight="1" spans="1:11">
      <c r="A14" s="4">
        <v>12</v>
      </c>
      <c r="B14" s="4">
        <v>2025</v>
      </c>
      <c r="C14" s="12">
        <v>1</v>
      </c>
      <c r="D14" s="12">
        <v>13</v>
      </c>
      <c r="E14" s="12" t="s">
        <v>32</v>
      </c>
      <c r="F14" s="21" t="str">
        <f>_xlfn.DISPIMG("ID_E0FD362ED2F3425F96087487088E2882",1)</f>
        <v>=DISPIMG("ID_E0FD362ED2F3425F96087487088E2882",1)</v>
      </c>
      <c r="G14" s="13" t="s">
        <v>13</v>
      </c>
      <c r="H14" s="12" t="s">
        <v>26</v>
      </c>
      <c r="I14" s="12" t="s">
        <v>15</v>
      </c>
      <c r="J14" s="12" t="s">
        <v>30</v>
      </c>
      <c r="K14" s="11"/>
    </row>
    <row r="15" s="17" customFormat="1" customHeight="1" spans="1:11">
      <c r="A15" s="4">
        <v>13</v>
      </c>
      <c r="B15" s="4">
        <v>2025</v>
      </c>
      <c r="C15" s="12">
        <v>1</v>
      </c>
      <c r="D15" s="12">
        <v>16</v>
      </c>
      <c r="E15" s="12" t="s">
        <v>33</v>
      </c>
      <c r="F15" s="21" t="str">
        <f>_xlfn.DISPIMG("ID_CF22CF02FED645E0A12CDDD34DC36CBD",1)</f>
        <v>=DISPIMG("ID_CF22CF02FED645E0A12CDDD34DC36CBD",1)</v>
      </c>
      <c r="G15" s="13" t="s">
        <v>13</v>
      </c>
      <c r="H15" s="12" t="s">
        <v>26</v>
      </c>
      <c r="I15" s="12" t="s">
        <v>15</v>
      </c>
      <c r="J15" s="12" t="s">
        <v>34</v>
      </c>
      <c r="K15" s="11"/>
    </row>
    <row r="16" s="17" customFormat="1" customHeight="1" spans="1:11">
      <c r="A16" s="4">
        <v>14</v>
      </c>
      <c r="B16" s="4">
        <v>2025</v>
      </c>
      <c r="C16" s="12">
        <v>1</v>
      </c>
      <c r="D16" s="12">
        <v>20</v>
      </c>
      <c r="E16" s="12" t="s">
        <v>17</v>
      </c>
      <c r="F16" s="21" t="str">
        <f>_xlfn.DISPIMG("ID_421E4720C42E48589C0F37A7F5D8DDC7",1)</f>
        <v>=DISPIMG("ID_421E4720C42E48589C0F37A7F5D8DDC7",1)</v>
      </c>
      <c r="G16" s="13" t="s">
        <v>13</v>
      </c>
      <c r="H16" s="12" t="s">
        <v>26</v>
      </c>
      <c r="I16" s="12" t="s">
        <v>15</v>
      </c>
      <c r="J16" s="12" t="s">
        <v>35</v>
      </c>
      <c r="K16" s="11"/>
    </row>
    <row r="17" s="17" customFormat="1" customHeight="1" spans="1:11">
      <c r="A17" s="4">
        <v>15</v>
      </c>
      <c r="B17" s="4">
        <v>2025</v>
      </c>
      <c r="C17" s="12">
        <v>1</v>
      </c>
      <c r="D17" s="12">
        <v>21</v>
      </c>
      <c r="E17" s="12" t="s">
        <v>36</v>
      </c>
      <c r="F17" s="21" t="str">
        <f>_xlfn.DISPIMG("ID_9F5A06CE69B243648C3C1C55CB45C47B",1)</f>
        <v>=DISPIMG("ID_9F5A06CE69B243648C3C1C55CB45C47B",1)</v>
      </c>
      <c r="G17" s="13" t="s">
        <v>13</v>
      </c>
      <c r="H17" s="12" t="s">
        <v>14</v>
      </c>
      <c r="I17" s="12" t="s">
        <v>22</v>
      </c>
      <c r="J17" s="12" t="s">
        <v>37</v>
      </c>
      <c r="K17" s="11"/>
    </row>
    <row r="18" s="17" customFormat="1" customHeight="1" spans="1:11">
      <c r="A18" s="4">
        <v>16</v>
      </c>
      <c r="B18" s="4">
        <v>2025</v>
      </c>
      <c r="C18" s="12">
        <v>1</v>
      </c>
      <c r="D18" s="12">
        <v>21</v>
      </c>
      <c r="E18" s="12" t="s">
        <v>38</v>
      </c>
      <c r="F18" s="21" t="str">
        <f>_xlfn.DISPIMG("ID_9CE601821AC74BBF99ECE29F4F10CF70",1)</f>
        <v>=DISPIMG("ID_9CE601821AC74BBF99ECE29F4F10CF70",1)</v>
      </c>
      <c r="G18" s="13" t="s">
        <v>13</v>
      </c>
      <c r="H18" s="12" t="s">
        <v>14</v>
      </c>
      <c r="I18" s="12" t="s">
        <v>15</v>
      </c>
      <c r="J18" s="12" t="s">
        <v>39</v>
      </c>
      <c r="K18" s="11"/>
    </row>
    <row r="19" s="17" customFormat="1" customHeight="1" spans="1:11">
      <c r="A19" s="4">
        <v>17</v>
      </c>
      <c r="B19" s="4">
        <v>2025</v>
      </c>
      <c r="C19" s="12">
        <v>1</v>
      </c>
      <c r="D19" s="12">
        <v>21</v>
      </c>
      <c r="E19" s="12" t="s">
        <v>40</v>
      </c>
      <c r="F19" s="21" t="str">
        <f>_xlfn.DISPIMG("ID_04E79C1924A0412E86A97DACFCD69822",1)</f>
        <v>=DISPIMG("ID_04E79C1924A0412E86A97DACFCD69822",1)</v>
      </c>
      <c r="G19" s="13" t="s">
        <v>13</v>
      </c>
      <c r="H19" s="12" t="s">
        <v>14</v>
      </c>
      <c r="I19" s="12" t="s">
        <v>15</v>
      </c>
      <c r="J19" s="12" t="s">
        <v>39</v>
      </c>
      <c r="K19" s="11"/>
    </row>
    <row r="20" s="17" customFormat="1" customHeight="1" spans="1:11">
      <c r="A20" s="4">
        <v>18</v>
      </c>
      <c r="B20" s="4">
        <v>2025</v>
      </c>
      <c r="C20" s="12">
        <v>1</v>
      </c>
      <c r="D20" s="12">
        <v>21</v>
      </c>
      <c r="E20" s="12" t="s">
        <v>41</v>
      </c>
      <c r="F20" s="21" t="str">
        <f>_xlfn.DISPIMG("ID_32148E37285847818531784247B5BC6A",1)</f>
        <v>=DISPIMG("ID_32148E37285847818531784247B5BC6A",1)</v>
      </c>
      <c r="G20" s="13" t="s">
        <v>13</v>
      </c>
      <c r="H20" s="12" t="s">
        <v>14</v>
      </c>
      <c r="I20" s="12" t="s">
        <v>15</v>
      </c>
      <c r="J20" s="12" t="s">
        <v>42</v>
      </c>
      <c r="K20" s="11"/>
    </row>
    <row r="21" s="17" customFormat="1" customHeight="1" spans="1:11">
      <c r="A21" s="4">
        <v>19</v>
      </c>
      <c r="B21" s="4">
        <v>2025</v>
      </c>
      <c r="C21" s="12">
        <v>1</v>
      </c>
      <c r="D21" s="12">
        <v>22</v>
      </c>
      <c r="E21" s="12" t="s">
        <v>17</v>
      </c>
      <c r="F21" s="21" t="str">
        <f>_xlfn.DISPIMG("ID_323CAF3DF24041E39DC12DD87919342E",1)</f>
        <v>=DISPIMG("ID_323CAF3DF24041E39DC12DD87919342E",1)</v>
      </c>
      <c r="G21" s="13" t="s">
        <v>13</v>
      </c>
      <c r="H21" s="12" t="s">
        <v>14</v>
      </c>
      <c r="I21" s="12" t="s">
        <v>24</v>
      </c>
      <c r="J21" s="12" t="s">
        <v>43</v>
      </c>
      <c r="K21" s="11"/>
    </row>
    <row r="22" s="17" customFormat="1" customHeight="1" spans="1:11">
      <c r="A22" s="4">
        <v>20</v>
      </c>
      <c r="B22" s="4">
        <v>2025</v>
      </c>
      <c r="C22" s="12">
        <v>1</v>
      </c>
      <c r="D22" s="12">
        <v>22</v>
      </c>
      <c r="E22" s="12" t="s">
        <v>17</v>
      </c>
      <c r="F22" s="21" t="str">
        <f>_xlfn.DISPIMG("ID_E052817D84F0416EBC7879C80F7A004F",1)</f>
        <v>=DISPIMG("ID_E052817D84F0416EBC7879C80F7A004F",1)</v>
      </c>
      <c r="G22" s="13" t="s">
        <v>13</v>
      </c>
      <c r="H22" s="12" t="s">
        <v>14</v>
      </c>
      <c r="I22" s="12" t="s">
        <v>24</v>
      </c>
      <c r="J22" s="12" t="s">
        <v>43</v>
      </c>
      <c r="K22" s="11"/>
    </row>
    <row r="23" s="17" customFormat="1" customHeight="1" spans="1:11">
      <c r="A23" s="4">
        <v>21</v>
      </c>
      <c r="B23" s="4">
        <v>2025</v>
      </c>
      <c r="C23" s="12">
        <v>1</v>
      </c>
      <c r="D23" s="12">
        <v>22</v>
      </c>
      <c r="E23" s="12" t="s">
        <v>17</v>
      </c>
      <c r="F23" s="21" t="str">
        <f>_xlfn.DISPIMG("ID_75AA1260F27445D89D97752C021B3118",1)</f>
        <v>=DISPIMG("ID_75AA1260F27445D89D97752C021B3118",1)</v>
      </c>
      <c r="G23" s="13" t="s">
        <v>13</v>
      </c>
      <c r="H23" s="12" t="s">
        <v>14</v>
      </c>
      <c r="I23" s="12" t="s">
        <v>24</v>
      </c>
      <c r="J23" s="12" t="s">
        <v>43</v>
      </c>
      <c r="K23" s="11"/>
    </row>
    <row r="24" s="17" customFormat="1" customHeight="1" spans="1:11">
      <c r="A24" s="4">
        <v>22</v>
      </c>
      <c r="B24" s="4">
        <v>2025</v>
      </c>
      <c r="C24" s="12">
        <v>1</v>
      </c>
      <c r="D24" s="12">
        <v>27</v>
      </c>
      <c r="E24" s="12" t="s">
        <v>44</v>
      </c>
      <c r="F24" s="21" t="str">
        <f>_xlfn.DISPIMG("ID_C8218059C6084A619AFFD0751D55FD74",1)</f>
        <v>=DISPIMG("ID_C8218059C6084A619AFFD0751D55FD74",1)</v>
      </c>
      <c r="G24" s="13" t="s">
        <v>13</v>
      </c>
      <c r="H24" s="12" t="s">
        <v>14</v>
      </c>
      <c r="I24" s="12" t="s">
        <v>24</v>
      </c>
      <c r="J24" s="12" t="s">
        <v>45</v>
      </c>
      <c r="K24" s="11"/>
    </row>
    <row r="25" s="17" customFormat="1" customHeight="1" spans="1:11">
      <c r="A25" s="4">
        <v>23</v>
      </c>
      <c r="B25" s="4">
        <v>2025</v>
      </c>
      <c r="C25" s="4">
        <v>2</v>
      </c>
      <c r="D25" s="4">
        <v>2</v>
      </c>
      <c r="E25" s="13" t="s">
        <v>46</v>
      </c>
      <c r="F25" s="22" t="str">
        <f>_xlfn.DISPIMG("ID_57860D593A8E49A393504D55CBA0AF16",1)</f>
        <v>=DISPIMG("ID_57860D593A8E49A393504D55CBA0AF16",1)</v>
      </c>
      <c r="G25" s="13" t="s">
        <v>13</v>
      </c>
      <c r="H25" s="12" t="s">
        <v>14</v>
      </c>
      <c r="I25" s="12" t="s">
        <v>22</v>
      </c>
      <c r="J25" s="13" t="s">
        <v>47</v>
      </c>
      <c r="K25" s="11"/>
    </row>
    <row r="26" s="17" customFormat="1" customHeight="1" spans="1:11">
      <c r="A26" s="4">
        <v>24</v>
      </c>
      <c r="B26" s="4">
        <v>2025</v>
      </c>
      <c r="C26" s="4">
        <v>2</v>
      </c>
      <c r="D26" s="4">
        <v>2</v>
      </c>
      <c r="E26" s="12" t="s">
        <v>17</v>
      </c>
      <c r="F26" s="20" t="str">
        <f>_xlfn.DISPIMG("ID_FD98E277E5474BB5A17B3D71DDAF502C",1)</f>
        <v>=DISPIMG("ID_FD98E277E5474BB5A17B3D71DDAF502C",1)</v>
      </c>
      <c r="G26" s="13" t="s">
        <v>13</v>
      </c>
      <c r="H26" s="12" t="s">
        <v>14</v>
      </c>
      <c r="I26" s="12" t="s">
        <v>24</v>
      </c>
      <c r="J26" s="12" t="s">
        <v>48</v>
      </c>
      <c r="K26" s="11"/>
    </row>
    <row r="27" s="17" customFormat="1" customHeight="1" spans="1:11">
      <c r="A27" s="4">
        <v>25</v>
      </c>
      <c r="B27" s="4">
        <v>2025</v>
      </c>
      <c r="C27" s="4">
        <v>2</v>
      </c>
      <c r="D27" s="4">
        <v>2</v>
      </c>
      <c r="E27" s="12" t="s">
        <v>17</v>
      </c>
      <c r="F27" s="20" t="str">
        <f>_xlfn.DISPIMG("ID_093F57135F1245BA8364181E6EA19DB0",1)</f>
        <v>=DISPIMG("ID_093F57135F1245BA8364181E6EA19DB0",1)</v>
      </c>
      <c r="G27" s="13" t="s">
        <v>13</v>
      </c>
      <c r="H27" s="12" t="s">
        <v>14</v>
      </c>
      <c r="I27" s="12" t="s">
        <v>24</v>
      </c>
      <c r="J27" s="12" t="s">
        <v>49</v>
      </c>
      <c r="K27" s="11"/>
    </row>
    <row r="28" s="17" customFormat="1" customHeight="1" spans="1:11">
      <c r="A28" s="4">
        <v>26</v>
      </c>
      <c r="B28" s="4">
        <v>2025</v>
      </c>
      <c r="C28" s="4">
        <v>2</v>
      </c>
      <c r="D28" s="4">
        <v>3</v>
      </c>
      <c r="E28" s="12" t="s">
        <v>50</v>
      </c>
      <c r="F28" s="21" t="str">
        <f>_xlfn.DISPIMG("ID_61C7209A9D5947A6A7155417348F1343",1)</f>
        <v>=DISPIMG("ID_61C7209A9D5947A6A7155417348F1343",1)</v>
      </c>
      <c r="G28" s="13" t="s">
        <v>13</v>
      </c>
      <c r="H28" s="12" t="s">
        <v>14</v>
      </c>
      <c r="I28" s="12" t="s">
        <v>22</v>
      </c>
      <c r="J28" s="12" t="s">
        <v>51</v>
      </c>
      <c r="K28" s="11"/>
    </row>
    <row r="29" s="17" customFormat="1" customHeight="1" spans="1:11">
      <c r="A29" s="4">
        <v>28</v>
      </c>
      <c r="B29" s="4">
        <v>2025</v>
      </c>
      <c r="C29" s="4">
        <v>2</v>
      </c>
      <c r="D29" s="4">
        <v>6</v>
      </c>
      <c r="E29" s="12" t="s">
        <v>52</v>
      </c>
      <c r="F29" s="21" t="str">
        <f>_xlfn.DISPIMG("ID_25C025DABB384AB6B865D389C28C9AFA",1)</f>
        <v>=DISPIMG("ID_25C025DABB384AB6B865D389C28C9AFA",1)</v>
      </c>
      <c r="G29" s="13" t="s">
        <v>13</v>
      </c>
      <c r="H29" s="12" t="s">
        <v>14</v>
      </c>
      <c r="I29" s="12" t="s">
        <v>22</v>
      </c>
      <c r="J29" s="12" t="s">
        <v>51</v>
      </c>
      <c r="K29" s="11"/>
    </row>
    <row r="30" s="17" customFormat="1" customHeight="1" spans="1:11">
      <c r="A30" s="4">
        <v>29</v>
      </c>
      <c r="B30" s="4">
        <v>2025</v>
      </c>
      <c r="C30" s="4">
        <v>2</v>
      </c>
      <c r="D30" s="4">
        <v>6</v>
      </c>
      <c r="E30" s="12" t="s">
        <v>53</v>
      </c>
      <c r="F30" s="21" t="str">
        <f>_xlfn.DISPIMG("ID_A9AD2EFD1A46453EB3FDFBF87126A681",1)</f>
        <v>=DISPIMG("ID_A9AD2EFD1A46453EB3FDFBF87126A681",1)</v>
      </c>
      <c r="G30" s="13" t="s">
        <v>21</v>
      </c>
      <c r="H30" s="12" t="s">
        <v>14</v>
      </c>
      <c r="I30" s="12" t="s">
        <v>22</v>
      </c>
      <c r="J30" s="12" t="s">
        <v>54</v>
      </c>
      <c r="K30" s="11"/>
    </row>
    <row r="31" s="17" customFormat="1" customHeight="1" spans="1:11">
      <c r="A31" s="4">
        <v>30</v>
      </c>
      <c r="B31" s="4">
        <v>2025</v>
      </c>
      <c r="C31" s="4">
        <v>2</v>
      </c>
      <c r="D31" s="4">
        <v>6</v>
      </c>
      <c r="E31" s="12" t="s">
        <v>55</v>
      </c>
      <c r="F31" s="21" t="str">
        <f>_xlfn.DISPIMG("ID_AB1311AF0C274D66A9D6F1602342D4C8",1)</f>
        <v>=DISPIMG("ID_AB1311AF0C274D66A9D6F1602342D4C8",1)</v>
      </c>
      <c r="G31" s="13" t="s">
        <v>13</v>
      </c>
      <c r="H31" s="12" t="s">
        <v>14</v>
      </c>
      <c r="I31" s="12" t="s">
        <v>22</v>
      </c>
      <c r="J31" s="12" t="s">
        <v>54</v>
      </c>
      <c r="K31" s="11"/>
    </row>
    <row r="32" s="17" customFormat="1" customHeight="1" spans="1:11">
      <c r="A32" s="4">
        <v>31</v>
      </c>
      <c r="B32" s="4">
        <v>2025</v>
      </c>
      <c r="C32" s="4">
        <v>2</v>
      </c>
      <c r="D32" s="4">
        <v>9</v>
      </c>
      <c r="E32" s="12" t="s">
        <v>17</v>
      </c>
      <c r="F32" s="21" t="str">
        <f>_xlfn.DISPIMG("ID_7673419BBBFD4D10AC6FC8E4F3CE7157",1)</f>
        <v>=DISPIMG("ID_7673419BBBFD4D10AC6FC8E4F3CE7157",1)</v>
      </c>
      <c r="G32" s="13" t="s">
        <v>13</v>
      </c>
      <c r="H32" s="12" t="s">
        <v>14</v>
      </c>
      <c r="I32" s="12" t="s">
        <v>19</v>
      </c>
      <c r="J32" s="12" t="s">
        <v>56</v>
      </c>
      <c r="K32" s="11"/>
    </row>
    <row r="33" s="17" customFormat="1" customHeight="1" spans="1:11">
      <c r="A33" s="4">
        <v>32</v>
      </c>
      <c r="B33" s="4">
        <v>2025</v>
      </c>
      <c r="C33" s="4">
        <v>2</v>
      </c>
      <c r="D33" s="4">
        <v>11</v>
      </c>
      <c r="E33" s="12" t="s">
        <v>17</v>
      </c>
      <c r="F33" s="21" t="str">
        <f>_xlfn.DISPIMG("ID_C568EB9895F644968C5B34D87E841D2B",1)</f>
        <v>=DISPIMG("ID_C568EB9895F644968C5B34D87E841D2B",1)</v>
      </c>
      <c r="G33" s="13" t="s">
        <v>13</v>
      </c>
      <c r="H33" s="12" t="s">
        <v>14</v>
      </c>
      <c r="I33" s="12" t="s">
        <v>24</v>
      </c>
      <c r="J33" s="12" t="s">
        <v>57</v>
      </c>
      <c r="K33" s="11"/>
    </row>
    <row r="34" s="17" customFormat="1" customHeight="1" spans="1:11">
      <c r="A34" s="4">
        <v>33</v>
      </c>
      <c r="B34" s="4">
        <v>2025</v>
      </c>
      <c r="C34" s="4">
        <v>2</v>
      </c>
      <c r="D34" s="4">
        <v>11</v>
      </c>
      <c r="E34" s="12" t="s">
        <v>17</v>
      </c>
      <c r="F34" s="21" t="str">
        <f>_xlfn.DISPIMG("ID_98D185111F554E64B6C1E1BB98AC4EA0",1)</f>
        <v>=DISPIMG("ID_98D185111F554E64B6C1E1BB98AC4EA0",1)</v>
      </c>
      <c r="G34" s="13" t="s">
        <v>13</v>
      </c>
      <c r="H34" s="12" t="s">
        <v>14</v>
      </c>
      <c r="I34" s="12" t="s">
        <v>22</v>
      </c>
      <c r="J34" s="12" t="s">
        <v>58</v>
      </c>
      <c r="K34" s="11"/>
    </row>
    <row r="35" s="17" customFormat="1" customHeight="1" spans="1:11">
      <c r="A35" s="4">
        <v>34</v>
      </c>
      <c r="B35" s="4">
        <v>2025</v>
      </c>
      <c r="C35" s="4">
        <v>2</v>
      </c>
      <c r="D35" s="4">
        <v>12</v>
      </c>
      <c r="E35" s="12" t="s">
        <v>17</v>
      </c>
      <c r="F35" s="21" t="str">
        <f>_xlfn.DISPIMG("ID_012B27E8F3FF430F9BE01EE5B895B485",1)</f>
        <v>=DISPIMG("ID_012B27E8F3FF430F9BE01EE5B895B485",1)</v>
      </c>
      <c r="G35" s="13" t="s">
        <v>13</v>
      </c>
      <c r="H35" s="12" t="s">
        <v>26</v>
      </c>
      <c r="I35" s="12" t="s">
        <v>15</v>
      </c>
      <c r="J35" s="12" t="s">
        <v>59</v>
      </c>
      <c r="K35" s="11"/>
    </row>
    <row r="36" s="17" customFormat="1" customHeight="1" spans="1:11">
      <c r="A36" s="4">
        <v>35</v>
      </c>
      <c r="B36" s="4">
        <v>2025</v>
      </c>
      <c r="C36" s="4">
        <v>2</v>
      </c>
      <c r="D36" s="4">
        <v>12</v>
      </c>
      <c r="E36" s="12" t="s">
        <v>60</v>
      </c>
      <c r="F36" s="21" t="str">
        <f>_xlfn.DISPIMG("ID_B83C1ECF97284AD9A7FF00ABC520E5C7",1)</f>
        <v>=DISPIMG("ID_B83C1ECF97284AD9A7FF00ABC520E5C7",1)</v>
      </c>
      <c r="G36" s="13" t="s">
        <v>13</v>
      </c>
      <c r="H36" s="12" t="s">
        <v>26</v>
      </c>
      <c r="I36" s="12" t="s">
        <v>15</v>
      </c>
      <c r="J36" s="12" t="s">
        <v>59</v>
      </c>
      <c r="K36" s="11"/>
    </row>
    <row r="37" s="17" customFormat="1" customHeight="1" spans="1:11">
      <c r="A37" s="4">
        <v>36</v>
      </c>
      <c r="B37" s="4">
        <v>2025</v>
      </c>
      <c r="C37" s="4">
        <v>2</v>
      </c>
      <c r="D37" s="4">
        <v>12</v>
      </c>
      <c r="E37" s="12" t="s">
        <v>17</v>
      </c>
      <c r="F37" s="21" t="str">
        <f>_xlfn.DISPIMG("ID_875E151041EA4983B3D4B37FCE212149",1)</f>
        <v>=DISPIMG("ID_875E151041EA4983B3D4B37FCE212149",1)</v>
      </c>
      <c r="G37" s="13" t="s">
        <v>13</v>
      </c>
      <c r="H37" s="12" t="s">
        <v>26</v>
      </c>
      <c r="I37" s="12" t="s">
        <v>15</v>
      </c>
      <c r="J37" s="12" t="s">
        <v>61</v>
      </c>
      <c r="K37" s="11"/>
    </row>
    <row r="38" s="17" customFormat="1" customHeight="1" spans="1:11">
      <c r="A38" s="4">
        <v>37</v>
      </c>
      <c r="B38" s="4">
        <v>2025</v>
      </c>
      <c r="C38" s="4">
        <v>2</v>
      </c>
      <c r="D38" s="4">
        <v>12</v>
      </c>
      <c r="E38" s="12" t="s">
        <v>62</v>
      </c>
      <c r="F38" s="21" t="str">
        <f>_xlfn.DISPIMG("ID_D87F34377BD143EDA99B2C9388DED82A",1)</f>
        <v>=DISPIMG("ID_D87F34377BD143EDA99B2C9388DED82A",1)</v>
      </c>
      <c r="G38" s="13" t="s">
        <v>13</v>
      </c>
      <c r="H38" s="12" t="s">
        <v>26</v>
      </c>
      <c r="I38" s="12" t="s">
        <v>15</v>
      </c>
      <c r="J38" s="12" t="s">
        <v>61</v>
      </c>
      <c r="K38" s="11"/>
    </row>
    <row r="39" s="17" customFormat="1" customHeight="1" spans="1:11">
      <c r="A39" s="4">
        <v>38</v>
      </c>
      <c r="B39" s="4">
        <v>2025</v>
      </c>
      <c r="C39" s="4">
        <v>2</v>
      </c>
      <c r="D39" s="4">
        <v>13</v>
      </c>
      <c r="E39" s="12" t="s">
        <v>63</v>
      </c>
      <c r="F39" s="21" t="str">
        <f>_xlfn.DISPIMG("ID_8C76BC3C39EC4ECBBD3C4B9000FCECD2",1)</f>
        <v>=DISPIMG("ID_8C76BC3C39EC4ECBBD3C4B9000FCECD2",1)</v>
      </c>
      <c r="G39" s="13" t="s">
        <v>13</v>
      </c>
      <c r="H39" s="12" t="s">
        <v>14</v>
      </c>
      <c r="I39" s="12" t="s">
        <v>15</v>
      </c>
      <c r="J39" s="12" t="s">
        <v>35</v>
      </c>
      <c r="K39" s="11"/>
    </row>
    <row r="40" s="17" customFormat="1" customHeight="1" spans="1:11">
      <c r="A40" s="4">
        <v>39</v>
      </c>
      <c r="B40" s="4">
        <v>2025</v>
      </c>
      <c r="C40" s="4">
        <v>2</v>
      </c>
      <c r="D40" s="4">
        <v>13</v>
      </c>
      <c r="E40" s="12" t="s">
        <v>64</v>
      </c>
      <c r="F40" s="21" t="str">
        <f>_xlfn.DISPIMG("ID_7290059ADA7045B28880FC249FBAC8FC",1)</f>
        <v>=DISPIMG("ID_7290059ADA7045B28880FC249FBAC8FC",1)</v>
      </c>
      <c r="G40" s="13" t="s">
        <v>13</v>
      </c>
      <c r="H40" s="12" t="s">
        <v>14</v>
      </c>
      <c r="I40" s="12" t="s">
        <v>22</v>
      </c>
      <c r="J40" s="12" t="s">
        <v>65</v>
      </c>
      <c r="K40" s="11"/>
    </row>
    <row r="41" s="17" customFormat="1" customHeight="1" spans="1:11">
      <c r="A41" s="4">
        <v>40</v>
      </c>
      <c r="B41" s="4">
        <v>2025</v>
      </c>
      <c r="C41" s="4">
        <v>2</v>
      </c>
      <c r="D41" s="4">
        <v>13</v>
      </c>
      <c r="E41" s="12" t="s">
        <v>17</v>
      </c>
      <c r="F41" s="21" t="str">
        <f>_xlfn.DISPIMG("ID_0939A8D2D7F0416590DC709D4FDE16C1",1)</f>
        <v>=DISPIMG("ID_0939A8D2D7F0416590DC709D4FDE16C1",1)</v>
      </c>
      <c r="G41" s="13" t="s">
        <v>13</v>
      </c>
      <c r="H41" s="12" t="s">
        <v>14</v>
      </c>
      <c r="I41" s="12" t="s">
        <v>19</v>
      </c>
      <c r="J41" s="12" t="s">
        <v>66</v>
      </c>
      <c r="K41" s="11"/>
    </row>
    <row r="42" s="17" customFormat="1" customHeight="1" spans="1:11">
      <c r="A42" s="4">
        <v>41</v>
      </c>
      <c r="B42" s="4">
        <v>2025</v>
      </c>
      <c r="C42" s="4">
        <v>2</v>
      </c>
      <c r="D42" s="4">
        <v>15</v>
      </c>
      <c r="E42" s="12" t="s">
        <v>67</v>
      </c>
      <c r="F42" s="21" t="str">
        <f>_xlfn.DISPIMG("ID_FE138C0B699946CA8673DFDF28808408",1)</f>
        <v>=DISPIMG("ID_FE138C0B699946CA8673DFDF28808408",1)</v>
      </c>
      <c r="G42" s="13" t="s">
        <v>13</v>
      </c>
      <c r="H42" s="12" t="s">
        <v>14</v>
      </c>
      <c r="I42" s="12" t="s">
        <v>24</v>
      </c>
      <c r="J42" s="12" t="s">
        <v>68</v>
      </c>
      <c r="K42" s="11"/>
    </row>
    <row r="43" s="17" customFormat="1" customHeight="1" spans="1:11">
      <c r="A43" s="4">
        <v>42</v>
      </c>
      <c r="B43" s="4">
        <v>2025</v>
      </c>
      <c r="C43" s="4">
        <v>2</v>
      </c>
      <c r="D43" s="4">
        <v>15</v>
      </c>
      <c r="E43" s="12" t="s">
        <v>17</v>
      </c>
      <c r="F43" s="21" t="str">
        <f>_xlfn.DISPIMG("ID_3FB0450C4C6E47359069B7D992CD43F7",1)</f>
        <v>=DISPIMG("ID_3FB0450C4C6E47359069B7D992CD43F7",1)</v>
      </c>
      <c r="G43" s="13" t="s">
        <v>13</v>
      </c>
      <c r="H43" s="12" t="s">
        <v>26</v>
      </c>
      <c r="I43" s="12" t="s">
        <v>69</v>
      </c>
      <c r="J43" s="12" t="s">
        <v>16</v>
      </c>
      <c r="K43" s="11"/>
    </row>
    <row r="44" s="17" customFormat="1" customHeight="1" spans="1:11">
      <c r="A44" s="4">
        <v>43</v>
      </c>
      <c r="B44" s="4">
        <v>2025</v>
      </c>
      <c r="C44" s="4">
        <v>2</v>
      </c>
      <c r="D44" s="4">
        <v>17</v>
      </c>
      <c r="E44" s="12" t="s">
        <v>17</v>
      </c>
      <c r="F44" s="21" t="str">
        <f>_xlfn.DISPIMG("ID_8014350D5FFC44CFBD728E8681FD6CE8",1)</f>
        <v>=DISPIMG("ID_8014350D5FFC44CFBD728E8681FD6CE8",1)</v>
      </c>
      <c r="G44" s="13" t="s">
        <v>13</v>
      </c>
      <c r="H44" s="12" t="s">
        <v>14</v>
      </c>
      <c r="I44" s="12" t="s">
        <v>22</v>
      </c>
      <c r="J44" s="12" t="s">
        <v>70</v>
      </c>
      <c r="K44" s="11"/>
    </row>
    <row r="45" s="17" customFormat="1" customHeight="1" spans="1:11">
      <c r="A45" s="4">
        <v>44</v>
      </c>
      <c r="B45" s="4">
        <v>2025</v>
      </c>
      <c r="C45" s="4">
        <v>2</v>
      </c>
      <c r="D45" s="4">
        <v>19</v>
      </c>
      <c r="E45" s="12" t="s">
        <v>71</v>
      </c>
      <c r="F45" s="21" t="str">
        <f>_xlfn.DISPIMG("ID_19A1459D17544D999E23FB4E02833C8B",1)</f>
        <v>=DISPIMG("ID_19A1459D17544D999E23FB4E02833C8B",1)</v>
      </c>
      <c r="G45" s="13" t="s">
        <v>13</v>
      </c>
      <c r="H45" s="12" t="s">
        <v>26</v>
      </c>
      <c r="I45" s="12" t="s">
        <v>15</v>
      </c>
      <c r="J45" s="12" t="s">
        <v>72</v>
      </c>
      <c r="K45" s="11"/>
    </row>
    <row r="46" s="17" customFormat="1" customHeight="1" spans="1:11">
      <c r="A46" s="4">
        <v>45</v>
      </c>
      <c r="B46" s="4">
        <v>2025</v>
      </c>
      <c r="C46" s="4">
        <v>2</v>
      </c>
      <c r="D46" s="4">
        <v>19</v>
      </c>
      <c r="E46" s="12" t="s">
        <v>73</v>
      </c>
      <c r="F46" s="21" t="str">
        <f>_xlfn.DISPIMG("ID_D30E8EAF70E0421E9EC33D28FAB81AB7",1)</f>
        <v>=DISPIMG("ID_D30E8EAF70E0421E9EC33D28FAB81AB7",1)</v>
      </c>
      <c r="G46" s="13" t="s">
        <v>13</v>
      </c>
      <c r="H46" s="12" t="s">
        <v>26</v>
      </c>
      <c r="I46" s="12" t="s">
        <v>15</v>
      </c>
      <c r="J46" s="12" t="s">
        <v>72</v>
      </c>
      <c r="K46" s="11"/>
    </row>
    <row r="47" s="17" customFormat="1" customHeight="1" spans="1:11">
      <c r="A47" s="4">
        <v>46</v>
      </c>
      <c r="B47" s="4">
        <v>2025</v>
      </c>
      <c r="C47" s="4">
        <v>2</v>
      </c>
      <c r="D47" s="4">
        <v>19</v>
      </c>
      <c r="E47" s="12" t="s">
        <v>74</v>
      </c>
      <c r="F47" s="21" t="str">
        <f>_xlfn.DISPIMG("ID_0C2084F69DB74524949B86440F1858AA",1)</f>
        <v>=DISPIMG("ID_0C2084F69DB74524949B86440F1858AA",1)</v>
      </c>
      <c r="G47" s="13" t="s">
        <v>13</v>
      </c>
      <c r="H47" s="12" t="s">
        <v>14</v>
      </c>
      <c r="I47" s="12" t="s">
        <v>22</v>
      </c>
      <c r="J47" s="12" t="s">
        <v>51</v>
      </c>
      <c r="K47" s="11"/>
    </row>
    <row r="48" s="17" customFormat="1" customHeight="1" spans="1:11">
      <c r="A48" s="4">
        <v>47</v>
      </c>
      <c r="B48" s="4">
        <v>2025</v>
      </c>
      <c r="C48" s="4">
        <v>2</v>
      </c>
      <c r="D48" s="4">
        <v>21</v>
      </c>
      <c r="E48" s="12" t="s">
        <v>17</v>
      </c>
      <c r="F48" s="21" t="str">
        <f>_xlfn.DISPIMG("ID_D5734DDC2C1D462BB2E5EFB5279878A3",1)</f>
        <v>=DISPIMG("ID_D5734DDC2C1D462BB2E5EFB5279878A3",1)</v>
      </c>
      <c r="G48" s="13" t="s">
        <v>13</v>
      </c>
      <c r="H48" s="12" t="s">
        <v>26</v>
      </c>
      <c r="I48" s="12" t="s">
        <v>15</v>
      </c>
      <c r="J48" s="12" t="s">
        <v>75</v>
      </c>
      <c r="K48" s="11"/>
    </row>
    <row r="49" s="17" customFormat="1" customHeight="1" spans="1:11">
      <c r="A49" s="4">
        <v>48</v>
      </c>
      <c r="B49" s="4">
        <v>2025</v>
      </c>
      <c r="C49" s="4">
        <v>2</v>
      </c>
      <c r="D49" s="4">
        <v>24</v>
      </c>
      <c r="E49" s="12" t="s">
        <v>76</v>
      </c>
      <c r="F49" s="15" t="str">
        <f>_xlfn.DISPIMG("ID_B0203ABD0F344D78BF51176BCC5BFD6B",1)</f>
        <v>=DISPIMG("ID_B0203ABD0F344D78BF51176BCC5BFD6B",1)</v>
      </c>
      <c r="G49" s="13" t="s">
        <v>13</v>
      </c>
      <c r="H49" s="12" t="s">
        <v>14</v>
      </c>
      <c r="I49" s="12" t="s">
        <v>19</v>
      </c>
      <c r="J49" s="12" t="s">
        <v>77</v>
      </c>
      <c r="K49" s="11"/>
    </row>
    <row r="50" s="17" customFormat="1" customHeight="1" spans="1:11">
      <c r="A50" s="4">
        <v>49</v>
      </c>
      <c r="B50" s="4">
        <v>2025</v>
      </c>
      <c r="C50" s="4">
        <v>2</v>
      </c>
      <c r="D50" s="4">
        <v>28</v>
      </c>
      <c r="E50" s="12" t="s">
        <v>17</v>
      </c>
      <c r="F50" s="21" t="str">
        <f>_xlfn.DISPIMG("ID_D82FCCA77DA64A71A9B42C0A709FF90B",1)</f>
        <v>=DISPIMG("ID_D82FCCA77DA64A71A9B42C0A709FF90B",1)</v>
      </c>
      <c r="G50" s="13" t="s">
        <v>13</v>
      </c>
      <c r="H50" s="12" t="s">
        <v>26</v>
      </c>
      <c r="I50" s="12" t="s">
        <v>15</v>
      </c>
      <c r="J50" s="12" t="s">
        <v>78</v>
      </c>
      <c r="K50" s="11"/>
    </row>
    <row r="51" s="17" customFormat="1" customHeight="1" spans="1:11">
      <c r="A51" s="4">
        <v>50</v>
      </c>
      <c r="B51" s="4">
        <v>2025</v>
      </c>
      <c r="C51" s="4">
        <v>3</v>
      </c>
      <c r="D51" s="4">
        <v>3</v>
      </c>
      <c r="E51" s="12" t="s">
        <v>79</v>
      </c>
      <c r="F51" s="20" t="str">
        <f>_xlfn.DISPIMG("ID_D9F6C3498A1E442A8F9A42223655AE49",1)</f>
        <v>=DISPIMG("ID_D9F6C3498A1E442A8F9A42223655AE49",1)</v>
      </c>
      <c r="G51" s="13" t="s">
        <v>13</v>
      </c>
      <c r="H51" s="12" t="s">
        <v>14</v>
      </c>
      <c r="I51" s="12" t="s">
        <v>19</v>
      </c>
      <c r="J51" s="12" t="s">
        <v>20</v>
      </c>
      <c r="K51" s="11"/>
    </row>
    <row r="52" s="17" customFormat="1" customHeight="1" spans="1:11">
      <c r="A52" s="4">
        <v>51</v>
      </c>
      <c r="B52" s="4">
        <v>2025</v>
      </c>
      <c r="C52" s="12">
        <v>3</v>
      </c>
      <c r="D52" s="12">
        <v>10</v>
      </c>
      <c r="E52" s="12" t="s">
        <v>17</v>
      </c>
      <c r="F52" s="21" t="str">
        <f>_xlfn.DISPIMG("ID_BB11FCEB74334E52A0D811D3BF641BCF",1)</f>
        <v>=DISPIMG("ID_BB11FCEB74334E52A0D811D3BF641BCF",1)</v>
      </c>
      <c r="G52" s="13" t="s">
        <v>13</v>
      </c>
      <c r="H52" s="12" t="s">
        <v>26</v>
      </c>
      <c r="I52" s="12" t="s">
        <v>15</v>
      </c>
      <c r="J52" s="12" t="s">
        <v>80</v>
      </c>
      <c r="K52" s="11"/>
    </row>
    <row r="53" s="17" customFormat="1" customHeight="1" spans="1:11">
      <c r="A53" s="4">
        <v>52</v>
      </c>
      <c r="B53" s="4">
        <v>2025</v>
      </c>
      <c r="C53" s="12">
        <v>3</v>
      </c>
      <c r="D53" s="12">
        <v>17</v>
      </c>
      <c r="E53" s="12" t="s">
        <v>81</v>
      </c>
      <c r="F53" s="21" t="str">
        <f>_xlfn.DISPIMG("ID_F15EBFDFE2DF443F9135B7259F8539CB",1)</f>
        <v>=DISPIMG("ID_F15EBFDFE2DF443F9135B7259F8539CB",1)</v>
      </c>
      <c r="G53" s="13" t="s">
        <v>13</v>
      </c>
      <c r="H53" s="12" t="s">
        <v>14</v>
      </c>
      <c r="I53" s="12" t="s">
        <v>15</v>
      </c>
      <c r="J53" s="12" t="s">
        <v>82</v>
      </c>
      <c r="K53" s="11"/>
    </row>
    <row r="54" s="17" customFormat="1" customHeight="1" spans="1:11">
      <c r="A54" s="4">
        <v>53</v>
      </c>
      <c r="B54" s="4">
        <v>2025</v>
      </c>
      <c r="C54" s="12">
        <v>3</v>
      </c>
      <c r="D54" s="12">
        <v>18</v>
      </c>
      <c r="E54" s="12" t="s">
        <v>17</v>
      </c>
      <c r="F54" s="21" t="str">
        <f>_xlfn.DISPIMG("ID_999945B56D07441DA32B5CBA1F3232FF",1)</f>
        <v>=DISPIMG("ID_999945B56D07441DA32B5CBA1F3232FF",1)</v>
      </c>
      <c r="G54" s="13" t="s">
        <v>13</v>
      </c>
      <c r="H54" s="12" t="s">
        <v>26</v>
      </c>
      <c r="I54" s="12" t="s">
        <v>15</v>
      </c>
      <c r="J54" s="12" t="s">
        <v>83</v>
      </c>
      <c r="K54" s="11"/>
    </row>
    <row r="55" s="17" customFormat="1" customHeight="1" spans="1:11">
      <c r="A55" s="4">
        <v>54</v>
      </c>
      <c r="B55" s="4">
        <v>2025</v>
      </c>
      <c r="C55" s="12">
        <v>3</v>
      </c>
      <c r="D55" s="12">
        <v>18</v>
      </c>
      <c r="E55" s="12" t="s">
        <v>17</v>
      </c>
      <c r="F55" s="21" t="str">
        <f>_xlfn.DISPIMG("ID_3C64AD842FE74A50AC6DF73C3F80D565",1)</f>
        <v>=DISPIMG("ID_3C64AD842FE74A50AC6DF73C3F80D565",1)</v>
      </c>
      <c r="G55" s="13" t="s">
        <v>13</v>
      </c>
      <c r="H55" s="12" t="s">
        <v>26</v>
      </c>
      <c r="I55" s="12" t="s">
        <v>15</v>
      </c>
      <c r="J55" s="12" t="s">
        <v>84</v>
      </c>
      <c r="K55" s="11"/>
    </row>
    <row r="56" s="17" customFormat="1" customHeight="1" spans="1:11">
      <c r="A56" s="4">
        <v>55</v>
      </c>
      <c r="B56" s="4">
        <v>2025</v>
      </c>
      <c r="C56" s="12">
        <v>3</v>
      </c>
      <c r="D56" s="12">
        <v>19</v>
      </c>
      <c r="E56" s="12" t="s">
        <v>85</v>
      </c>
      <c r="F56" s="21" t="str">
        <f>_xlfn.DISPIMG("ID_B5087E2DF55A4239B2775CD9F61F2B76",1)</f>
        <v>=DISPIMG("ID_B5087E2DF55A4239B2775CD9F61F2B76",1)</v>
      </c>
      <c r="G56" s="13" t="s">
        <v>21</v>
      </c>
      <c r="H56" s="12" t="s">
        <v>14</v>
      </c>
      <c r="I56" s="12" t="s">
        <v>19</v>
      </c>
      <c r="J56" s="12" t="s">
        <v>86</v>
      </c>
      <c r="K56" s="11"/>
    </row>
    <row r="57" s="17" customFormat="1" customHeight="1" spans="1:11">
      <c r="A57" s="4">
        <v>56</v>
      </c>
      <c r="B57" s="4">
        <v>2025</v>
      </c>
      <c r="C57" s="12">
        <v>3</v>
      </c>
      <c r="D57" s="12">
        <v>19</v>
      </c>
      <c r="E57" s="12" t="s">
        <v>87</v>
      </c>
      <c r="F57" s="21" t="str">
        <f>_xlfn.DISPIMG("ID_89EA6916E4CC4FE9A13E365B89D912FA",1)</f>
        <v>=DISPIMG("ID_89EA6916E4CC4FE9A13E365B89D912FA",1)</v>
      </c>
      <c r="G57" s="13" t="s">
        <v>13</v>
      </c>
      <c r="H57" s="12" t="s">
        <v>14</v>
      </c>
      <c r="I57" s="12" t="s">
        <v>19</v>
      </c>
      <c r="J57" s="12" t="s">
        <v>86</v>
      </c>
      <c r="K57" s="11"/>
    </row>
    <row r="58" s="17" customFormat="1" customHeight="1" spans="1:11">
      <c r="A58" s="4">
        <v>57</v>
      </c>
      <c r="B58" s="4">
        <v>2025</v>
      </c>
      <c r="C58" s="12">
        <v>3</v>
      </c>
      <c r="D58" s="12">
        <v>19</v>
      </c>
      <c r="E58" s="12" t="s">
        <v>88</v>
      </c>
      <c r="F58" s="21" t="str">
        <f>_xlfn.DISPIMG("ID_34A465B86AEE4AB8A68F80B1314F81E0",1)</f>
        <v>=DISPIMG("ID_34A465B86AEE4AB8A68F80B1314F81E0",1)</v>
      </c>
      <c r="G58" s="13" t="s">
        <v>13</v>
      </c>
      <c r="H58" s="12" t="s">
        <v>26</v>
      </c>
      <c r="I58" s="12" t="s">
        <v>15</v>
      </c>
      <c r="J58" s="12" t="s">
        <v>89</v>
      </c>
      <c r="K58" s="11"/>
    </row>
    <row r="59" s="17" customFormat="1" customHeight="1" spans="1:11">
      <c r="A59" s="4">
        <v>58</v>
      </c>
      <c r="B59" s="4">
        <v>2025</v>
      </c>
      <c r="C59" s="12">
        <v>3</v>
      </c>
      <c r="D59" s="12">
        <v>19</v>
      </c>
      <c r="E59" s="12" t="s">
        <v>17</v>
      </c>
      <c r="F59" s="21" t="str">
        <f>_xlfn.DISPIMG("ID_A3495EF1734C475081BB581A7FD2E6EE",1)</f>
        <v>=DISPIMG("ID_A3495EF1734C475081BB581A7FD2E6EE",1)</v>
      </c>
      <c r="G59" s="13" t="s">
        <v>13</v>
      </c>
      <c r="H59" s="12" t="s">
        <v>26</v>
      </c>
      <c r="I59" s="12" t="s">
        <v>15</v>
      </c>
      <c r="J59" s="12" t="s">
        <v>89</v>
      </c>
      <c r="K59" s="11"/>
    </row>
    <row r="60" s="17" customFormat="1" customHeight="1" spans="1:11">
      <c r="A60" s="4">
        <v>59</v>
      </c>
      <c r="B60" s="4">
        <v>2025</v>
      </c>
      <c r="C60" s="12">
        <v>3</v>
      </c>
      <c r="D60" s="12">
        <v>20</v>
      </c>
      <c r="E60" s="12" t="s">
        <v>90</v>
      </c>
      <c r="F60" s="21" t="str">
        <f>_xlfn.DISPIMG("ID_94542DDE2C474421B262071AABBA5480",1)</f>
        <v>=DISPIMG("ID_94542DDE2C474421B262071AABBA5480",1)</v>
      </c>
      <c r="G60" s="13" t="s">
        <v>13</v>
      </c>
      <c r="H60" s="12" t="s">
        <v>26</v>
      </c>
      <c r="I60" s="12" t="s">
        <v>15</v>
      </c>
      <c r="J60" s="12" t="s">
        <v>16</v>
      </c>
      <c r="K60" s="11"/>
    </row>
    <row r="61" s="17" customFormat="1" customHeight="1" spans="1:11">
      <c r="A61" s="4">
        <v>60</v>
      </c>
      <c r="B61" s="4">
        <v>2025</v>
      </c>
      <c r="C61" s="12">
        <v>3</v>
      </c>
      <c r="D61" s="12">
        <v>21</v>
      </c>
      <c r="E61" s="12" t="s">
        <v>17</v>
      </c>
      <c r="F61" s="21" t="str">
        <f>_xlfn.DISPIMG("ID_CF582A53C14B4D4EBE0646204829B3BD",1)</f>
        <v>=DISPIMG("ID_CF582A53C14B4D4EBE0646204829B3BD",1)</v>
      </c>
      <c r="G61" s="13" t="s">
        <v>13</v>
      </c>
      <c r="H61" s="12" t="s">
        <v>14</v>
      </c>
      <c r="I61" s="12" t="s">
        <v>24</v>
      </c>
      <c r="J61" s="12" t="s">
        <v>91</v>
      </c>
      <c r="K61" s="11"/>
    </row>
    <row r="62" s="17" customFormat="1" customHeight="1" spans="1:11">
      <c r="A62" s="4">
        <v>61</v>
      </c>
      <c r="B62" s="4">
        <v>2025</v>
      </c>
      <c r="C62" s="12">
        <v>3</v>
      </c>
      <c r="D62" s="12">
        <v>22</v>
      </c>
      <c r="E62" s="12" t="s">
        <v>92</v>
      </c>
      <c r="F62" s="21" t="str">
        <f>_xlfn.DISPIMG("ID_679798D3073D4E33A4731666414FC006",1)</f>
        <v>=DISPIMG("ID_679798D3073D4E33A4731666414FC006",1)</v>
      </c>
      <c r="G62" s="13" t="s">
        <v>13</v>
      </c>
      <c r="H62" s="12" t="s">
        <v>14</v>
      </c>
      <c r="I62" s="12" t="s">
        <v>93</v>
      </c>
      <c r="J62" s="12" t="s">
        <v>94</v>
      </c>
      <c r="K62" s="11"/>
    </row>
    <row r="63" s="17" customFormat="1" customHeight="1" spans="1:11">
      <c r="A63" s="4">
        <v>62</v>
      </c>
      <c r="B63" s="4">
        <v>2025</v>
      </c>
      <c r="C63" s="12">
        <v>3</v>
      </c>
      <c r="D63" s="12">
        <v>24</v>
      </c>
      <c r="E63" s="12" t="s">
        <v>17</v>
      </c>
      <c r="F63" s="21" t="str">
        <f>_xlfn.DISPIMG("ID_A9BDF563336B47148072E7E4F2F42B36",1)</f>
        <v>=DISPIMG("ID_A9BDF563336B47148072E7E4F2F42B36",1)</v>
      </c>
      <c r="G63" s="13" t="s">
        <v>13</v>
      </c>
      <c r="H63" s="12" t="s">
        <v>14</v>
      </c>
      <c r="I63" s="12" t="s">
        <v>15</v>
      </c>
      <c r="J63" s="12" t="s">
        <v>35</v>
      </c>
      <c r="K63" s="11"/>
    </row>
    <row r="64" s="17" customFormat="1" customHeight="1" spans="1:11">
      <c r="A64" s="4">
        <v>63</v>
      </c>
      <c r="B64" s="4">
        <v>2025</v>
      </c>
      <c r="C64" s="12">
        <v>3</v>
      </c>
      <c r="D64" s="12">
        <v>26</v>
      </c>
      <c r="E64" s="12" t="s">
        <v>95</v>
      </c>
      <c r="F64" s="21" t="str">
        <f>_xlfn.DISPIMG("ID_D19E99DD2B53491C8B9B3BA728F9C50F",1)</f>
        <v>=DISPIMG("ID_D19E99DD2B53491C8B9B3BA728F9C50F",1)</v>
      </c>
      <c r="G64" s="13" t="s">
        <v>13</v>
      </c>
      <c r="H64" s="12" t="s">
        <v>14</v>
      </c>
      <c r="I64" s="12" t="s">
        <v>22</v>
      </c>
      <c r="J64" s="12" t="s">
        <v>96</v>
      </c>
      <c r="K64" s="11"/>
    </row>
    <row r="65" s="17" customFormat="1" customHeight="1" spans="1:11">
      <c r="A65" s="4">
        <v>64</v>
      </c>
      <c r="B65" s="4">
        <v>2025</v>
      </c>
      <c r="C65" s="12">
        <v>3</v>
      </c>
      <c r="D65" s="12">
        <v>28</v>
      </c>
      <c r="E65" s="12" t="s">
        <v>97</v>
      </c>
      <c r="F65" s="21" t="str">
        <f>_xlfn.DISPIMG("ID_99CBB2C2CF8140BAB042AD5D149FFDC2",1)</f>
        <v>=DISPIMG("ID_99CBB2C2CF8140BAB042AD5D149FFDC2",1)</v>
      </c>
      <c r="G65" s="13" t="s">
        <v>13</v>
      </c>
      <c r="H65" s="12" t="s">
        <v>14</v>
      </c>
      <c r="I65" s="12" t="s">
        <v>22</v>
      </c>
      <c r="J65" s="12" t="s">
        <v>98</v>
      </c>
      <c r="K65" s="11"/>
    </row>
    <row r="66" s="17" customFormat="1" customHeight="1" spans="1:11">
      <c r="A66" s="4">
        <v>65</v>
      </c>
      <c r="B66" s="4">
        <v>2025</v>
      </c>
      <c r="C66" s="12">
        <v>3</v>
      </c>
      <c r="D66" s="12">
        <v>28</v>
      </c>
      <c r="E66" s="12" t="s">
        <v>17</v>
      </c>
      <c r="F66" s="21" t="str">
        <f>_xlfn.DISPIMG("ID_A4F54988D3BA40F0B192DA4D0733B910",1)</f>
        <v>=DISPIMG("ID_A4F54988D3BA40F0B192DA4D0733B910",1)</v>
      </c>
      <c r="G66" s="13" t="s">
        <v>13</v>
      </c>
      <c r="H66" s="12" t="s">
        <v>26</v>
      </c>
      <c r="I66" s="12" t="s">
        <v>15</v>
      </c>
      <c r="J66" s="12" t="s">
        <v>99</v>
      </c>
      <c r="K66" s="11"/>
    </row>
    <row r="67" s="17" customFormat="1" customHeight="1" spans="1:11">
      <c r="A67" s="4">
        <v>66</v>
      </c>
      <c r="B67" s="4">
        <v>2025</v>
      </c>
      <c r="C67" s="12">
        <v>3</v>
      </c>
      <c r="D67" s="12">
        <v>28</v>
      </c>
      <c r="E67" s="12" t="s">
        <v>17</v>
      </c>
      <c r="F67" s="21" t="str">
        <f>_xlfn.DISPIMG("ID_A5AEBFBCDBAE4540AD5840B1C500DD80",1)</f>
        <v>=DISPIMG("ID_A5AEBFBCDBAE4540AD5840B1C500DD80",1)</v>
      </c>
      <c r="G67" s="13" t="s">
        <v>13</v>
      </c>
      <c r="H67" s="12" t="s">
        <v>26</v>
      </c>
      <c r="I67" s="12" t="s">
        <v>15</v>
      </c>
      <c r="J67" s="12" t="s">
        <v>99</v>
      </c>
      <c r="K67" s="11"/>
    </row>
    <row r="68" s="17" customFormat="1" customHeight="1" spans="1:11">
      <c r="A68" s="4">
        <v>67</v>
      </c>
      <c r="B68" s="4">
        <v>2025</v>
      </c>
      <c r="C68" s="4">
        <v>4</v>
      </c>
      <c r="D68" s="4">
        <v>3</v>
      </c>
      <c r="E68" s="12" t="s">
        <v>100</v>
      </c>
      <c r="F68" s="21" t="str">
        <f>_xlfn.DISPIMG("ID_672B518A4CD449AAA05E77C8750BD2D7",1)</f>
        <v>=DISPIMG("ID_672B518A4CD449AAA05E77C8750BD2D7",1)</v>
      </c>
      <c r="G68" s="13" t="s">
        <v>13</v>
      </c>
      <c r="H68" s="12" t="s">
        <v>14</v>
      </c>
      <c r="I68" s="12" t="s">
        <v>22</v>
      </c>
      <c r="J68" s="12" t="s">
        <v>101</v>
      </c>
      <c r="K68" s="11"/>
    </row>
    <row r="69" s="17" customFormat="1" customHeight="1" spans="1:11">
      <c r="A69" s="4">
        <v>68</v>
      </c>
      <c r="B69" s="4">
        <v>2025</v>
      </c>
      <c r="C69" s="12">
        <v>4</v>
      </c>
      <c r="D69" s="12">
        <v>6</v>
      </c>
      <c r="E69" s="12" t="s">
        <v>17</v>
      </c>
      <c r="F69" s="21" t="str">
        <f>_xlfn.DISPIMG("ID_A0B6BD36C8834970BCF29C46DCA4559D",1)</f>
        <v>=DISPIMG("ID_A0B6BD36C8834970BCF29C46DCA4559D",1)</v>
      </c>
      <c r="G69" s="13" t="s">
        <v>13</v>
      </c>
      <c r="H69" s="12" t="s">
        <v>14</v>
      </c>
      <c r="I69" s="12" t="s">
        <v>22</v>
      </c>
      <c r="J69" s="12" t="s">
        <v>54</v>
      </c>
      <c r="K69" s="11"/>
    </row>
    <row r="70" s="17" customFormat="1" customHeight="1" spans="1:11">
      <c r="A70" s="4">
        <v>69</v>
      </c>
      <c r="B70" s="4">
        <v>2025</v>
      </c>
      <c r="C70" s="12">
        <v>4</v>
      </c>
      <c r="D70" s="12">
        <v>13</v>
      </c>
      <c r="E70" s="12" t="s">
        <v>17</v>
      </c>
      <c r="F70" s="21" t="str">
        <f>_xlfn.DISPIMG("ID_5BBAC550995041B5BC1EC012EE480141",1)</f>
        <v>=DISPIMG("ID_5BBAC550995041B5BC1EC012EE480141",1)</v>
      </c>
      <c r="G70" s="13" t="s">
        <v>13</v>
      </c>
      <c r="H70" s="12" t="s">
        <v>26</v>
      </c>
      <c r="I70" s="12" t="s">
        <v>69</v>
      </c>
      <c r="J70" s="12" t="s">
        <v>102</v>
      </c>
      <c r="K70" s="11"/>
    </row>
    <row r="71" s="17" customFormat="1" customHeight="1" spans="1:11">
      <c r="A71" s="4">
        <v>70</v>
      </c>
      <c r="B71" s="4">
        <v>2025</v>
      </c>
      <c r="C71" s="12">
        <v>4</v>
      </c>
      <c r="D71" s="12">
        <v>14</v>
      </c>
      <c r="E71" s="12" t="s">
        <v>103</v>
      </c>
      <c r="F71" s="21" t="str">
        <f>_xlfn.DISPIMG("ID_ABB5CD78F2AE4BA6B2E3DEA006C23D03",1)</f>
        <v>=DISPIMG("ID_ABB5CD78F2AE4BA6B2E3DEA006C23D03",1)</v>
      </c>
      <c r="G71" s="13" t="s">
        <v>13</v>
      </c>
      <c r="H71" s="12" t="s">
        <v>26</v>
      </c>
      <c r="I71" s="12" t="s">
        <v>15</v>
      </c>
      <c r="J71" s="12" t="s">
        <v>70</v>
      </c>
      <c r="K71" s="11"/>
    </row>
    <row r="72" s="17" customFormat="1" customHeight="1" spans="1:11">
      <c r="A72" s="4">
        <v>71</v>
      </c>
      <c r="B72" s="4">
        <v>2025</v>
      </c>
      <c r="C72" s="12">
        <v>4</v>
      </c>
      <c r="D72" s="12">
        <v>14</v>
      </c>
      <c r="E72" s="12" t="s">
        <v>104</v>
      </c>
      <c r="F72" s="21" t="str">
        <f>_xlfn.DISPIMG("ID_A850E96213994DB38102B5A44A0F5C74",1)</f>
        <v>=DISPIMG("ID_A850E96213994DB38102B5A44A0F5C74",1)</v>
      </c>
      <c r="G72" s="13" t="s">
        <v>13</v>
      </c>
      <c r="H72" s="12" t="s">
        <v>26</v>
      </c>
      <c r="I72" s="12" t="s">
        <v>15</v>
      </c>
      <c r="J72" s="12" t="s">
        <v>70</v>
      </c>
      <c r="K72" s="11"/>
    </row>
    <row r="73" s="17" customFormat="1" customHeight="1" spans="1:11">
      <c r="A73" s="4">
        <v>72</v>
      </c>
      <c r="B73" s="4">
        <v>2025</v>
      </c>
      <c r="C73" s="12">
        <v>4</v>
      </c>
      <c r="D73" s="12">
        <v>14</v>
      </c>
      <c r="E73" s="12" t="s">
        <v>17</v>
      </c>
      <c r="F73" s="21" t="str">
        <f>_xlfn.DISPIMG("ID_8E0D90690CAB4BE384A2835DFCE33BA5",1)</f>
        <v>=DISPIMG("ID_8E0D90690CAB4BE384A2835DFCE33BA5",1)</v>
      </c>
      <c r="G73" s="13" t="s">
        <v>13</v>
      </c>
      <c r="H73" s="12" t="s">
        <v>26</v>
      </c>
      <c r="I73" s="12" t="s">
        <v>15</v>
      </c>
      <c r="J73" s="12" t="s">
        <v>70</v>
      </c>
      <c r="K73" s="11"/>
    </row>
    <row r="74" s="17" customFormat="1" customHeight="1" spans="1:11">
      <c r="A74" s="4">
        <v>73</v>
      </c>
      <c r="B74" s="4">
        <v>2025</v>
      </c>
      <c r="C74" s="12">
        <v>4</v>
      </c>
      <c r="D74" s="12">
        <v>15</v>
      </c>
      <c r="E74" s="12" t="s">
        <v>17</v>
      </c>
      <c r="F74" s="21" t="str">
        <f>_xlfn.DISPIMG("ID_744A72A5F3E64772A70592B46FA72FBD",1)</f>
        <v>=DISPIMG("ID_744A72A5F3E64772A70592B46FA72FBD",1)</v>
      </c>
      <c r="G74" s="13" t="s">
        <v>13</v>
      </c>
      <c r="H74" s="12" t="s">
        <v>26</v>
      </c>
      <c r="I74" s="12" t="s">
        <v>15</v>
      </c>
      <c r="J74" s="12" t="s">
        <v>105</v>
      </c>
      <c r="K74" s="11"/>
    </row>
    <row r="75" s="17" customFormat="1" customHeight="1" spans="1:11">
      <c r="A75" s="4">
        <v>74</v>
      </c>
      <c r="B75" s="4">
        <v>2025</v>
      </c>
      <c r="C75" s="12">
        <v>4</v>
      </c>
      <c r="D75" s="12">
        <v>15</v>
      </c>
      <c r="E75" s="12" t="s">
        <v>106</v>
      </c>
      <c r="F75" s="21" t="str">
        <f>_xlfn.DISPIMG("ID_AE95BCE11B4F47369CB53FC5233FA44B",1)</f>
        <v>=DISPIMG("ID_AE95BCE11B4F47369CB53FC5233FA44B",1)</v>
      </c>
      <c r="G75" s="13" t="s">
        <v>13</v>
      </c>
      <c r="H75" s="12" t="s">
        <v>26</v>
      </c>
      <c r="I75" s="12" t="s">
        <v>15</v>
      </c>
      <c r="J75" s="12" t="s">
        <v>105</v>
      </c>
      <c r="K75" s="11"/>
    </row>
    <row r="76" s="17" customFormat="1" customHeight="1" spans="1:11">
      <c r="A76" s="4">
        <v>75</v>
      </c>
      <c r="B76" s="4">
        <v>2025</v>
      </c>
      <c r="C76" s="12">
        <v>4</v>
      </c>
      <c r="D76" s="12">
        <v>15</v>
      </c>
      <c r="E76" s="12" t="s">
        <v>44</v>
      </c>
      <c r="F76" s="21" t="str">
        <f>_xlfn.DISPIMG("ID_53AD2F0DE6514BD6920A7C361637430D",1)</f>
        <v>=DISPIMG("ID_53AD2F0DE6514BD6920A7C361637430D",1)</v>
      </c>
      <c r="G76" s="13" t="s">
        <v>13</v>
      </c>
      <c r="H76" s="12" t="s">
        <v>26</v>
      </c>
      <c r="I76" s="12" t="s">
        <v>15</v>
      </c>
      <c r="J76" s="12" t="s">
        <v>105</v>
      </c>
      <c r="K76" s="11"/>
    </row>
    <row r="77" s="17" customFormat="1" customHeight="1" spans="1:11">
      <c r="A77" s="4">
        <v>76</v>
      </c>
      <c r="B77" s="4">
        <v>2025</v>
      </c>
      <c r="C77" s="12">
        <v>4</v>
      </c>
      <c r="D77" s="12">
        <v>16</v>
      </c>
      <c r="E77" s="12" t="s">
        <v>17</v>
      </c>
      <c r="F77" s="21" t="str">
        <f>_xlfn.DISPIMG("ID_1D70AED7029449B09D89AE48910AA0C4",1)</f>
        <v>=DISPIMG("ID_1D70AED7029449B09D89AE48910AA0C4",1)</v>
      </c>
      <c r="G77" s="13" t="s">
        <v>13</v>
      </c>
      <c r="H77" s="12" t="s">
        <v>26</v>
      </c>
      <c r="I77" s="12" t="s">
        <v>15</v>
      </c>
      <c r="J77" s="12" t="s">
        <v>107</v>
      </c>
      <c r="K77" s="11"/>
    </row>
    <row r="78" s="17" customFormat="1" customHeight="1" spans="1:11">
      <c r="A78" s="4">
        <v>77</v>
      </c>
      <c r="B78" s="4">
        <v>2025</v>
      </c>
      <c r="C78" s="12">
        <v>4</v>
      </c>
      <c r="D78" s="12">
        <v>17</v>
      </c>
      <c r="E78" s="12" t="s">
        <v>108</v>
      </c>
      <c r="F78" s="21" t="str">
        <f>_xlfn.DISPIMG("ID_1B124D5CEB4A4ADBBEB70B4CDD59BC39",1)</f>
        <v>=DISPIMG("ID_1B124D5CEB4A4ADBBEB70B4CDD59BC39",1)</v>
      </c>
      <c r="G78" s="13" t="s">
        <v>13</v>
      </c>
      <c r="H78" s="12" t="s">
        <v>14</v>
      </c>
      <c r="I78" s="12" t="s">
        <v>22</v>
      </c>
      <c r="J78" s="12" t="s">
        <v>109</v>
      </c>
      <c r="K78" s="11"/>
    </row>
    <row r="79" s="17" customFormat="1" customHeight="1" spans="1:11">
      <c r="A79" s="4">
        <v>78</v>
      </c>
      <c r="B79" s="4">
        <v>2025</v>
      </c>
      <c r="C79" s="12">
        <v>4</v>
      </c>
      <c r="D79" s="12">
        <v>21</v>
      </c>
      <c r="E79" s="12" t="s">
        <v>110</v>
      </c>
      <c r="F79" s="21" t="str">
        <f>_xlfn.DISPIMG("ID_EC7F5BE24B0740E1A5D7BA72083424C5",1)</f>
        <v>=DISPIMG("ID_EC7F5BE24B0740E1A5D7BA72083424C5",1)</v>
      </c>
      <c r="G79" s="13" t="s">
        <v>21</v>
      </c>
      <c r="H79" s="12" t="s">
        <v>14</v>
      </c>
      <c r="I79" s="12" t="s">
        <v>15</v>
      </c>
      <c r="J79" s="12" t="s">
        <v>111</v>
      </c>
      <c r="K79" s="11"/>
    </row>
    <row r="80" s="17" customFormat="1" customHeight="1" spans="1:11">
      <c r="A80" s="4">
        <v>79</v>
      </c>
      <c r="B80" s="4">
        <v>2025</v>
      </c>
      <c r="C80" s="12">
        <v>4</v>
      </c>
      <c r="D80" s="12">
        <v>24</v>
      </c>
      <c r="E80" s="12" t="s">
        <v>17</v>
      </c>
      <c r="F80" s="21" t="str">
        <f>_xlfn.DISPIMG("ID_FE9708D86D414F4B9FAA8CC81CBFFD69",1)</f>
        <v>=DISPIMG("ID_FE9708D86D414F4B9FAA8CC81CBFFD69",1)</v>
      </c>
      <c r="G80" s="13" t="s">
        <v>13</v>
      </c>
      <c r="H80" s="12" t="s">
        <v>14</v>
      </c>
      <c r="I80" s="12" t="s">
        <v>19</v>
      </c>
      <c r="J80" s="12" t="s">
        <v>112</v>
      </c>
      <c r="K80" s="11"/>
    </row>
    <row r="81" s="17" customFormat="1" customHeight="1" spans="1:11">
      <c r="A81" s="4">
        <v>80</v>
      </c>
      <c r="B81" s="4">
        <v>2025</v>
      </c>
      <c r="C81" s="12">
        <v>4</v>
      </c>
      <c r="D81" s="12">
        <v>27</v>
      </c>
      <c r="E81" s="12" t="s">
        <v>113</v>
      </c>
      <c r="F81" s="21" t="str">
        <f>_xlfn.DISPIMG("ID_DD66AD9A72D043958810111C6DABB2F3",1)</f>
        <v>=DISPIMG("ID_DD66AD9A72D043958810111C6DABB2F3",1)</v>
      </c>
      <c r="G81" s="13" t="s">
        <v>13</v>
      </c>
      <c r="H81" s="12" t="s">
        <v>114</v>
      </c>
      <c r="I81" s="12" t="s">
        <v>93</v>
      </c>
      <c r="J81" s="12" t="s">
        <v>115</v>
      </c>
      <c r="K81" s="11"/>
    </row>
    <row r="82" s="17" customFormat="1" customHeight="1" spans="1:11">
      <c r="A82" s="4">
        <v>81</v>
      </c>
      <c r="B82" s="4">
        <v>2025</v>
      </c>
      <c r="C82" s="12">
        <v>4</v>
      </c>
      <c r="D82" s="12">
        <v>29</v>
      </c>
      <c r="E82" s="12" t="s">
        <v>116</v>
      </c>
      <c r="F82" s="21" t="str">
        <f>_xlfn.DISPIMG("ID_998E6E11AFAD4CF38BCC88ACDE1175A5",1)</f>
        <v>=DISPIMG("ID_998E6E11AFAD4CF38BCC88ACDE1175A5",1)</v>
      </c>
      <c r="G82" s="13" t="s">
        <v>13</v>
      </c>
      <c r="H82" s="12" t="s">
        <v>14</v>
      </c>
      <c r="I82" s="12" t="s">
        <v>19</v>
      </c>
      <c r="J82" s="12" t="s">
        <v>20</v>
      </c>
      <c r="K82" s="11"/>
    </row>
    <row r="83" s="17" customFormat="1" customHeight="1" spans="1:11">
      <c r="A83" s="4">
        <v>82</v>
      </c>
      <c r="B83" s="4">
        <v>2025</v>
      </c>
      <c r="C83" s="12">
        <v>5</v>
      </c>
      <c r="D83" s="12">
        <v>5</v>
      </c>
      <c r="E83" s="12" t="s">
        <v>31</v>
      </c>
      <c r="F83" s="21" t="str">
        <f>_xlfn.DISPIMG("ID_0C986CC4D0FE478BABFE4D2C5ACA62BB",1)</f>
        <v>=DISPIMG("ID_0C986CC4D0FE478BABFE4D2C5ACA62BB",1)</v>
      </c>
      <c r="G83" s="13" t="s">
        <v>13</v>
      </c>
      <c r="H83" s="12" t="s">
        <v>26</v>
      </c>
      <c r="I83" s="12" t="s">
        <v>69</v>
      </c>
      <c r="J83" s="12" t="s">
        <v>117</v>
      </c>
      <c r="K83" s="11"/>
    </row>
    <row r="84" s="17" customFormat="1" customHeight="1" spans="1:11">
      <c r="A84" s="4">
        <v>83</v>
      </c>
      <c r="B84" s="4">
        <v>2025</v>
      </c>
      <c r="C84" s="12">
        <v>5</v>
      </c>
      <c r="D84" s="12">
        <v>5</v>
      </c>
      <c r="E84" s="12" t="s">
        <v>118</v>
      </c>
      <c r="F84" s="21" t="str">
        <f>_xlfn.DISPIMG("ID_4DD8C44C8C8A46F4A1280EE2B56BA216",1)</f>
        <v>=DISPIMG("ID_4DD8C44C8C8A46F4A1280EE2B56BA216",1)</v>
      </c>
      <c r="G84" s="13" t="s">
        <v>13</v>
      </c>
      <c r="H84" s="12" t="s">
        <v>14</v>
      </c>
      <c r="I84" s="12" t="s">
        <v>19</v>
      </c>
      <c r="J84" s="12" t="s">
        <v>119</v>
      </c>
      <c r="K84" s="11"/>
    </row>
    <row r="85" s="17" customFormat="1" customHeight="1" spans="1:11">
      <c r="A85" s="4">
        <v>84</v>
      </c>
      <c r="B85" s="4">
        <v>2025</v>
      </c>
      <c r="C85" s="12">
        <v>5</v>
      </c>
      <c r="D85" s="12">
        <v>8</v>
      </c>
      <c r="E85" s="12" t="s">
        <v>120</v>
      </c>
      <c r="F85" s="21" t="str">
        <f>_xlfn.DISPIMG("ID_7EB7D26516A74EC4967E94D791893D5C",1)</f>
        <v>=DISPIMG("ID_7EB7D26516A74EC4967E94D791893D5C",1)</v>
      </c>
      <c r="G85" s="13" t="s">
        <v>13</v>
      </c>
      <c r="H85" s="12" t="s">
        <v>26</v>
      </c>
      <c r="I85" s="12" t="s">
        <v>69</v>
      </c>
      <c r="J85" s="12" t="s">
        <v>121</v>
      </c>
      <c r="K85" s="11"/>
    </row>
    <row r="86" s="17" customFormat="1" customHeight="1" spans="1:11">
      <c r="A86" s="4">
        <v>85</v>
      </c>
      <c r="B86" s="4">
        <v>2025</v>
      </c>
      <c r="C86" s="12">
        <v>5</v>
      </c>
      <c r="D86" s="12">
        <v>8</v>
      </c>
      <c r="E86" s="12" t="s">
        <v>122</v>
      </c>
      <c r="F86" s="21" t="str">
        <f>_xlfn.DISPIMG("ID_59078D6E577A4E579D951693983DB347",1)</f>
        <v>=DISPIMG("ID_59078D6E577A4E579D951693983DB347",1)</v>
      </c>
      <c r="G86" s="13" t="s">
        <v>13</v>
      </c>
      <c r="H86" s="12" t="s">
        <v>26</v>
      </c>
      <c r="I86" s="12" t="s">
        <v>69</v>
      </c>
      <c r="J86" s="12" t="s">
        <v>121</v>
      </c>
      <c r="K86" s="11"/>
    </row>
    <row r="87" s="17" customFormat="1" customHeight="1" spans="1:11">
      <c r="A87" s="4">
        <v>86</v>
      </c>
      <c r="B87" s="4">
        <v>2025</v>
      </c>
      <c r="C87" s="12">
        <v>5</v>
      </c>
      <c r="D87" s="12">
        <v>8</v>
      </c>
      <c r="E87" s="12" t="s">
        <v>17</v>
      </c>
      <c r="F87" s="21" t="str">
        <f>_xlfn.DISPIMG("ID_102BABA551E045688F4C8AB66FE1A098",1)</f>
        <v>=DISPIMG("ID_102BABA551E045688F4C8AB66FE1A098",1)</v>
      </c>
      <c r="G87" s="13" t="s">
        <v>13</v>
      </c>
      <c r="H87" s="12" t="s">
        <v>26</v>
      </c>
      <c r="I87" s="12" t="s">
        <v>15</v>
      </c>
      <c r="J87" s="12" t="s">
        <v>121</v>
      </c>
      <c r="K87" s="11"/>
    </row>
    <row r="88" s="17" customFormat="1" customHeight="1" spans="1:11">
      <c r="A88" s="4">
        <v>87</v>
      </c>
      <c r="B88" s="4">
        <v>2025</v>
      </c>
      <c r="C88" s="12">
        <v>5</v>
      </c>
      <c r="D88" s="12">
        <v>8</v>
      </c>
      <c r="E88" s="12" t="s">
        <v>123</v>
      </c>
      <c r="F88" s="21" t="str">
        <f>_xlfn.DISPIMG("ID_B20FE0364DFA4D10A424B96988003C67",1)</f>
        <v>=DISPIMG("ID_B20FE0364DFA4D10A424B96988003C67",1)</v>
      </c>
      <c r="G88" s="13" t="s">
        <v>13</v>
      </c>
      <c r="H88" s="12" t="s">
        <v>26</v>
      </c>
      <c r="I88" s="12" t="s">
        <v>15</v>
      </c>
      <c r="J88" s="12" t="s">
        <v>121</v>
      </c>
      <c r="K88" s="11"/>
    </row>
    <row r="89" s="17" customFormat="1" customHeight="1" spans="1:11">
      <c r="A89" s="4">
        <v>88</v>
      </c>
      <c r="B89" s="4">
        <v>2025</v>
      </c>
      <c r="C89" s="12">
        <v>5</v>
      </c>
      <c r="D89" s="12">
        <v>8</v>
      </c>
      <c r="E89" s="12" t="s">
        <v>17</v>
      </c>
      <c r="F89" s="21" t="str">
        <f>_xlfn.DISPIMG("ID_BDA9CF4DC6434FCAAC6CF63BB24F5045",1)</f>
        <v>=DISPIMG("ID_BDA9CF4DC6434FCAAC6CF63BB24F5045",1)</v>
      </c>
      <c r="G89" s="13" t="s">
        <v>13</v>
      </c>
      <c r="H89" s="12" t="s">
        <v>26</v>
      </c>
      <c r="I89" s="12" t="s">
        <v>15</v>
      </c>
      <c r="J89" s="12" t="s">
        <v>121</v>
      </c>
      <c r="K89" s="11"/>
    </row>
    <row r="90" s="17" customFormat="1" customHeight="1" spans="1:11">
      <c r="A90" s="4">
        <v>89</v>
      </c>
      <c r="B90" s="4">
        <v>2025</v>
      </c>
      <c r="C90" s="12">
        <v>5</v>
      </c>
      <c r="D90" s="12">
        <v>9</v>
      </c>
      <c r="E90" s="12" t="s">
        <v>124</v>
      </c>
      <c r="F90" s="21" t="str">
        <f>_xlfn.DISPIMG("ID_BC2F507574A147FDB79E2266F681CFB4",1)</f>
        <v>=DISPIMG("ID_BC2F507574A147FDB79E2266F681CFB4",1)</v>
      </c>
      <c r="G90" s="13" t="s">
        <v>13</v>
      </c>
      <c r="H90" s="12" t="s">
        <v>26</v>
      </c>
      <c r="I90" s="12" t="s">
        <v>69</v>
      </c>
      <c r="J90" s="12" t="s">
        <v>111</v>
      </c>
      <c r="K90" s="11"/>
    </row>
    <row r="91" s="17" customFormat="1" customHeight="1" spans="1:11">
      <c r="A91" s="4">
        <v>90</v>
      </c>
      <c r="B91" s="4">
        <v>2025</v>
      </c>
      <c r="C91" s="12">
        <v>5</v>
      </c>
      <c r="D91" s="12">
        <v>11</v>
      </c>
      <c r="E91" s="12" t="s">
        <v>125</v>
      </c>
      <c r="F91" s="21" t="str">
        <f>_xlfn.DISPIMG("ID_4B46A74A12D54C2497E4087BC5C6486F",1)</f>
        <v>=DISPIMG("ID_4B46A74A12D54C2497E4087BC5C6486F",1)</v>
      </c>
      <c r="G91" s="13" t="s">
        <v>13</v>
      </c>
      <c r="H91" s="12" t="s">
        <v>14</v>
      </c>
      <c r="I91" s="12" t="s">
        <v>24</v>
      </c>
      <c r="J91" s="12" t="s">
        <v>111</v>
      </c>
      <c r="K91" s="11"/>
    </row>
    <row r="92" s="17" customFormat="1" customHeight="1" spans="1:11">
      <c r="A92" s="4">
        <v>92</v>
      </c>
      <c r="B92" s="4">
        <v>2025</v>
      </c>
      <c r="C92" s="12">
        <v>5</v>
      </c>
      <c r="D92" s="12">
        <v>15</v>
      </c>
      <c r="E92" s="12" t="s">
        <v>31</v>
      </c>
      <c r="F92" s="21" t="str">
        <f>_xlfn.DISPIMG("ID_424E835C9B8F49E2AB684978A5F4A46F",1)</f>
        <v>=DISPIMG("ID_424E835C9B8F49E2AB684978A5F4A46F",1)</v>
      </c>
      <c r="G92" s="13" t="s">
        <v>13</v>
      </c>
      <c r="H92" s="12" t="s">
        <v>14</v>
      </c>
      <c r="I92" s="12" t="s">
        <v>69</v>
      </c>
      <c r="J92" s="12" t="s">
        <v>111</v>
      </c>
      <c r="K92" s="11"/>
    </row>
    <row r="93" s="17" customFormat="1" customHeight="1" spans="1:11">
      <c r="A93" s="4">
        <v>93</v>
      </c>
      <c r="B93" s="4">
        <v>2025</v>
      </c>
      <c r="C93" s="12">
        <v>5</v>
      </c>
      <c r="D93" s="12">
        <v>16</v>
      </c>
      <c r="E93" s="12" t="s">
        <v>126</v>
      </c>
      <c r="F93" s="21" t="str">
        <f>_xlfn.DISPIMG("ID_A6432A02EBDA4954B4EAF9C3148D797D",1)</f>
        <v>=DISPIMG("ID_A6432A02EBDA4954B4EAF9C3148D797D",1)</v>
      </c>
      <c r="G93" s="13" t="s">
        <v>13</v>
      </c>
      <c r="H93" s="12" t="s">
        <v>14</v>
      </c>
      <c r="I93" s="12" t="s">
        <v>24</v>
      </c>
      <c r="J93" s="12" t="s">
        <v>127</v>
      </c>
      <c r="K93" s="11"/>
    </row>
    <row r="94" s="17" customFormat="1" customHeight="1" spans="1:11">
      <c r="A94" s="4">
        <v>94</v>
      </c>
      <c r="B94" s="4">
        <v>2025</v>
      </c>
      <c r="C94" s="12">
        <v>5</v>
      </c>
      <c r="D94" s="12">
        <v>19</v>
      </c>
      <c r="E94" s="12" t="s">
        <v>128</v>
      </c>
      <c r="F94" s="21" t="str">
        <f>_xlfn.DISPIMG("ID_40C767E8A782473EB77DF76503A5F11D",1)</f>
        <v>=DISPIMG("ID_40C767E8A782473EB77DF76503A5F11D",1)</v>
      </c>
      <c r="G94" s="13" t="s">
        <v>21</v>
      </c>
      <c r="H94" s="12" t="s">
        <v>26</v>
      </c>
      <c r="I94" s="12" t="s">
        <v>15</v>
      </c>
      <c r="J94" s="12" t="s">
        <v>129</v>
      </c>
      <c r="K94" s="11"/>
    </row>
    <row r="95" s="17" customFormat="1" customHeight="1" spans="1:11">
      <c r="A95" s="4">
        <v>95</v>
      </c>
      <c r="B95" s="4">
        <v>2025</v>
      </c>
      <c r="C95" s="12">
        <v>5</v>
      </c>
      <c r="D95" s="12">
        <v>19</v>
      </c>
      <c r="E95" s="12" t="s">
        <v>130</v>
      </c>
      <c r="F95" s="21" t="str">
        <f>_xlfn.DISPIMG("ID_9864EB2A52C7450399F38CD02278A189",1)</f>
        <v>=DISPIMG("ID_9864EB2A52C7450399F38CD02278A189",1)</v>
      </c>
      <c r="G95" s="13" t="s">
        <v>13</v>
      </c>
      <c r="H95" s="12" t="s">
        <v>26</v>
      </c>
      <c r="I95" s="12" t="s">
        <v>15</v>
      </c>
      <c r="J95" s="12" t="s">
        <v>129</v>
      </c>
      <c r="K95" s="11"/>
    </row>
    <row r="96" s="17" customFormat="1" customHeight="1" spans="1:11">
      <c r="A96" s="4">
        <v>96</v>
      </c>
      <c r="B96" s="4">
        <v>2025</v>
      </c>
      <c r="C96" s="12">
        <v>5</v>
      </c>
      <c r="D96" s="12">
        <v>19</v>
      </c>
      <c r="E96" s="12" t="s">
        <v>131</v>
      </c>
      <c r="F96" s="21" t="str">
        <f>_xlfn.DISPIMG("ID_07FC7D1ADBAB494E89372B06645ACACC",1)</f>
        <v>=DISPIMG("ID_07FC7D1ADBAB494E89372B06645ACACC",1)</v>
      </c>
      <c r="G96" s="13" t="s">
        <v>13</v>
      </c>
      <c r="H96" s="12" t="s">
        <v>26</v>
      </c>
      <c r="I96" s="12" t="s">
        <v>15</v>
      </c>
      <c r="J96" s="12" t="s">
        <v>129</v>
      </c>
      <c r="K96" s="11"/>
    </row>
    <row r="97" s="17" customFormat="1" customHeight="1" spans="1:11">
      <c r="A97" s="4">
        <v>97</v>
      </c>
      <c r="B97" s="4">
        <v>2025</v>
      </c>
      <c r="C97" s="12">
        <v>5</v>
      </c>
      <c r="D97" s="12">
        <v>21</v>
      </c>
      <c r="E97" s="12" t="s">
        <v>17</v>
      </c>
      <c r="F97" s="21" t="str">
        <f>_xlfn.DISPIMG("ID_4B3ADEF606E74075A6B8FC3995F0C2DD",1)</f>
        <v>=DISPIMG("ID_4B3ADEF606E74075A6B8FC3995F0C2DD",1)</v>
      </c>
      <c r="G97" s="13" t="s">
        <v>13</v>
      </c>
      <c r="H97" s="12" t="s">
        <v>26</v>
      </c>
      <c r="I97" s="12" t="s">
        <v>15</v>
      </c>
      <c r="J97" s="12" t="s">
        <v>132</v>
      </c>
      <c r="K97" s="11"/>
    </row>
    <row r="98" s="17" customFormat="1" customHeight="1" spans="1:11">
      <c r="A98" s="4">
        <v>98</v>
      </c>
      <c r="B98" s="4">
        <v>2025</v>
      </c>
      <c r="C98" s="12">
        <v>5</v>
      </c>
      <c r="D98" s="12">
        <v>24</v>
      </c>
      <c r="E98" s="12" t="s">
        <v>17</v>
      </c>
      <c r="F98" s="21" t="str">
        <f>_xlfn.DISPIMG("ID_2EF5681CBD4A4E9ABF18DC9D71F6DE10",1)</f>
        <v>=DISPIMG("ID_2EF5681CBD4A4E9ABF18DC9D71F6DE10",1)</v>
      </c>
      <c r="G98" s="13" t="s">
        <v>13</v>
      </c>
      <c r="H98" s="12" t="s">
        <v>26</v>
      </c>
      <c r="I98" s="12" t="s">
        <v>69</v>
      </c>
      <c r="J98" s="12" t="s">
        <v>133</v>
      </c>
      <c r="K98" s="11"/>
    </row>
    <row r="99" s="17" customFormat="1" customHeight="1" spans="1:11">
      <c r="A99" s="4">
        <v>99</v>
      </c>
      <c r="B99" s="4">
        <v>2025</v>
      </c>
      <c r="C99" s="12">
        <v>5</v>
      </c>
      <c r="D99" s="12">
        <v>26</v>
      </c>
      <c r="E99" s="12" t="s">
        <v>134</v>
      </c>
      <c r="F99" s="21" t="str">
        <f>_xlfn.DISPIMG("ID_BF665D258A0D49C3B908D43B64C69A35",1)</f>
        <v>=DISPIMG("ID_BF665D258A0D49C3B908D43B64C69A35",1)</v>
      </c>
      <c r="G99" s="13" t="s">
        <v>13</v>
      </c>
      <c r="H99" s="12" t="s">
        <v>14</v>
      </c>
      <c r="I99" s="12" t="s">
        <v>93</v>
      </c>
      <c r="J99" s="12" t="s">
        <v>135</v>
      </c>
      <c r="K99" s="11"/>
    </row>
    <row r="100" s="17" customFormat="1" customHeight="1" spans="1:11">
      <c r="A100" s="4">
        <v>100</v>
      </c>
      <c r="B100" s="4">
        <v>2025</v>
      </c>
      <c r="C100" s="12">
        <v>5</v>
      </c>
      <c r="D100" s="12">
        <v>26</v>
      </c>
      <c r="E100" s="12" t="s">
        <v>136</v>
      </c>
      <c r="F100" s="21" t="str">
        <f>_xlfn.DISPIMG("ID_66E38A6CA26E4539A5CFAF7BA6859CD5",1)</f>
        <v>=DISPIMG("ID_66E38A6CA26E4539A5CFAF7BA6859CD5",1)</v>
      </c>
      <c r="G100" s="13" t="s">
        <v>13</v>
      </c>
      <c r="H100" s="12" t="s">
        <v>26</v>
      </c>
      <c r="I100" s="12" t="s">
        <v>15</v>
      </c>
      <c r="J100" s="12" t="s">
        <v>16</v>
      </c>
      <c r="K100" s="11"/>
    </row>
    <row r="101" s="17" customFormat="1" customHeight="1" spans="1:11">
      <c r="A101" s="4">
        <v>101</v>
      </c>
      <c r="B101" s="4">
        <v>2025</v>
      </c>
      <c r="C101" s="12">
        <v>5</v>
      </c>
      <c r="D101" s="12">
        <v>28</v>
      </c>
      <c r="E101" s="12" t="s">
        <v>137</v>
      </c>
      <c r="F101" s="21" t="str">
        <f>_xlfn.DISPIMG("ID_2E44CAD06BF848E0BE492C7AF413F307",1)</f>
        <v>=DISPIMG("ID_2E44CAD06BF848E0BE492C7AF413F307",1)</v>
      </c>
      <c r="G101" s="13" t="s">
        <v>13</v>
      </c>
      <c r="H101" s="12" t="s">
        <v>14</v>
      </c>
      <c r="I101" s="12" t="s">
        <v>22</v>
      </c>
      <c r="J101" s="12" t="s">
        <v>138</v>
      </c>
      <c r="K101" s="11"/>
    </row>
    <row r="102" s="17" customFormat="1" customHeight="1" spans="1:11">
      <c r="A102" s="4">
        <v>102</v>
      </c>
      <c r="B102" s="4">
        <v>2025</v>
      </c>
      <c r="C102" s="12">
        <v>5</v>
      </c>
      <c r="D102" s="12">
        <v>30</v>
      </c>
      <c r="E102" s="12" t="s">
        <v>17</v>
      </c>
      <c r="F102" s="21" t="str">
        <f>_xlfn.DISPIMG("ID_BAB74A6F39224F1DA57F3AC5254EFBC0",1)</f>
        <v>=DISPIMG("ID_BAB74A6F39224F1DA57F3AC5254EFBC0",1)</v>
      </c>
      <c r="G102" s="13" t="s">
        <v>13</v>
      </c>
      <c r="H102" s="12" t="s">
        <v>14</v>
      </c>
      <c r="I102" s="12" t="s">
        <v>15</v>
      </c>
      <c r="J102" s="12" t="s">
        <v>139</v>
      </c>
      <c r="K102" s="11"/>
    </row>
    <row r="103" s="17" customFormat="1" customHeight="1" spans="1:11">
      <c r="A103" s="4">
        <v>103</v>
      </c>
      <c r="B103" s="4">
        <v>2025</v>
      </c>
      <c r="C103" s="12">
        <v>5</v>
      </c>
      <c r="D103" s="12">
        <v>30</v>
      </c>
      <c r="E103" s="12" t="s">
        <v>17</v>
      </c>
      <c r="F103" s="21" t="str">
        <f>_xlfn.DISPIMG("ID_8ACC5604CFF146BE82A4BE6592D473E7",1)</f>
        <v>=DISPIMG("ID_8ACC5604CFF146BE82A4BE6592D473E7",1)</v>
      </c>
      <c r="G103" s="13" t="s">
        <v>13</v>
      </c>
      <c r="H103" s="12" t="s">
        <v>26</v>
      </c>
      <c r="I103" s="12" t="s">
        <v>15</v>
      </c>
      <c r="J103" s="12" t="s">
        <v>140</v>
      </c>
      <c r="K103" s="11"/>
    </row>
    <row r="104" s="17" customFormat="1" customHeight="1" spans="1:11">
      <c r="A104" s="4">
        <v>104</v>
      </c>
      <c r="B104" s="4">
        <v>2025</v>
      </c>
      <c r="C104" s="12">
        <v>5</v>
      </c>
      <c r="D104" s="12">
        <v>30</v>
      </c>
      <c r="E104" s="12" t="s">
        <v>17</v>
      </c>
      <c r="F104" s="21" t="str">
        <f>_xlfn.DISPIMG("ID_6CC99485AB8D4D12A67E66454C5D8994",1)</f>
        <v>=DISPIMG("ID_6CC99485AB8D4D12A67E66454C5D8994",1)</v>
      </c>
      <c r="G104" s="13" t="s">
        <v>13</v>
      </c>
      <c r="H104" s="12" t="s">
        <v>26</v>
      </c>
      <c r="I104" s="12" t="s">
        <v>15</v>
      </c>
      <c r="J104" s="12" t="s">
        <v>140</v>
      </c>
      <c r="K104" s="11"/>
    </row>
    <row r="105" s="17" customFormat="1" customHeight="1" spans="1:11">
      <c r="A105" s="4">
        <v>105</v>
      </c>
      <c r="B105" s="4">
        <v>2025</v>
      </c>
      <c r="C105" s="12">
        <v>5</v>
      </c>
      <c r="D105" s="12">
        <v>31</v>
      </c>
      <c r="E105" s="12" t="s">
        <v>17</v>
      </c>
      <c r="F105" s="21" t="str">
        <f>_xlfn.DISPIMG("ID_3DB793424DE94E7390139A404ED21022",1)</f>
        <v>=DISPIMG("ID_3DB793424DE94E7390139A404ED21022",1)</v>
      </c>
      <c r="G105" s="13" t="s">
        <v>13</v>
      </c>
      <c r="H105" s="12" t="s">
        <v>26</v>
      </c>
      <c r="I105" s="12" t="s">
        <v>15</v>
      </c>
      <c r="J105" s="12" t="s">
        <v>141</v>
      </c>
      <c r="K105" s="11"/>
    </row>
    <row r="106" s="17" customFormat="1" customHeight="1" spans="1:11">
      <c r="A106" s="4">
        <v>106</v>
      </c>
      <c r="B106" s="4">
        <v>2025</v>
      </c>
      <c r="C106" s="12">
        <v>5</v>
      </c>
      <c r="D106" s="12">
        <v>31</v>
      </c>
      <c r="E106" s="12" t="s">
        <v>17</v>
      </c>
      <c r="F106" s="21" t="str">
        <f>_xlfn.DISPIMG("ID_F0E8B7AA4F4B487A8DAA680F472A560C",1)</f>
        <v>=DISPIMG("ID_F0E8B7AA4F4B487A8DAA680F472A560C",1)</v>
      </c>
      <c r="G106" s="13" t="s">
        <v>13</v>
      </c>
      <c r="H106" s="12" t="s">
        <v>14</v>
      </c>
      <c r="I106" s="12" t="s">
        <v>15</v>
      </c>
      <c r="J106" s="12" t="s">
        <v>142</v>
      </c>
      <c r="K106" s="11"/>
    </row>
    <row r="107" s="17" customFormat="1" customHeight="1" spans="1:11">
      <c r="A107" s="4">
        <v>107</v>
      </c>
      <c r="B107" s="4">
        <v>2025</v>
      </c>
      <c r="C107" s="4">
        <v>6</v>
      </c>
      <c r="D107" s="4">
        <v>5</v>
      </c>
      <c r="E107" s="12" t="s">
        <v>143</v>
      </c>
      <c r="F107" s="20" t="str">
        <f>_xlfn.DISPIMG("ID_A86D3DAD4A5748AFA5627550A3C47D7D",1)</f>
        <v>=DISPIMG("ID_A86D3DAD4A5748AFA5627550A3C47D7D",1)</v>
      </c>
      <c r="G107" s="13" t="s">
        <v>13</v>
      </c>
      <c r="H107" s="12" t="s">
        <v>14</v>
      </c>
      <c r="I107" s="12" t="s">
        <v>22</v>
      </c>
      <c r="J107" s="12" t="s">
        <v>51</v>
      </c>
      <c r="K107" s="11"/>
    </row>
    <row r="108" s="17" customFormat="1" customHeight="1" spans="1:11">
      <c r="A108" s="4">
        <v>108</v>
      </c>
      <c r="B108" s="4">
        <v>2025</v>
      </c>
      <c r="C108" s="12">
        <v>6</v>
      </c>
      <c r="D108" s="12">
        <v>10</v>
      </c>
      <c r="E108" s="12" t="s">
        <v>144</v>
      </c>
      <c r="F108" s="21" t="str">
        <f>_xlfn.DISPIMG("ID_78B266010B7D4CD2ACB740AA840E9D3D",1)</f>
        <v>=DISPIMG("ID_78B266010B7D4CD2ACB740AA840E9D3D",1)</v>
      </c>
      <c r="G108" s="13" t="s">
        <v>13</v>
      </c>
      <c r="H108" s="12" t="s">
        <v>14</v>
      </c>
      <c r="I108" s="12" t="s">
        <v>22</v>
      </c>
      <c r="J108" s="12" t="s">
        <v>51</v>
      </c>
      <c r="K108" s="11"/>
    </row>
    <row r="109" s="17" customFormat="1" customHeight="1" spans="1:11">
      <c r="A109" s="4">
        <v>109</v>
      </c>
      <c r="B109" s="4">
        <v>2025</v>
      </c>
      <c r="C109" s="12">
        <v>6</v>
      </c>
      <c r="D109" s="12">
        <v>11</v>
      </c>
      <c r="E109" s="12" t="s">
        <v>145</v>
      </c>
      <c r="F109" s="21" t="str">
        <f>_xlfn.DISPIMG("ID_212A2C6C120242EFA1BB11A1187E77E8",1)</f>
        <v>=DISPIMG("ID_212A2C6C120242EFA1BB11A1187E77E8",1)</v>
      </c>
      <c r="G109" s="13" t="s">
        <v>13</v>
      </c>
      <c r="H109" s="12" t="s">
        <v>26</v>
      </c>
      <c r="I109" s="12" t="s">
        <v>15</v>
      </c>
      <c r="J109" s="12" t="s">
        <v>107</v>
      </c>
      <c r="K109" s="11"/>
    </row>
    <row r="110" s="17" customFormat="1" customHeight="1" spans="1:11">
      <c r="A110" s="4">
        <v>110</v>
      </c>
      <c r="B110" s="4">
        <v>2025</v>
      </c>
      <c r="C110" s="12">
        <v>6</v>
      </c>
      <c r="D110" s="12">
        <v>14</v>
      </c>
      <c r="E110" s="12" t="s">
        <v>17</v>
      </c>
      <c r="F110" s="21" t="str">
        <f>_xlfn.DISPIMG("ID_FA251E4717A642668A995BF59893B240",1)</f>
        <v>=DISPIMG("ID_FA251E4717A642668A995BF59893B240",1)</v>
      </c>
      <c r="G110" s="13" t="s">
        <v>13</v>
      </c>
      <c r="H110" s="12" t="s">
        <v>26</v>
      </c>
      <c r="I110" s="12" t="s">
        <v>15</v>
      </c>
      <c r="J110" s="12" t="s">
        <v>146</v>
      </c>
      <c r="K110" s="11"/>
    </row>
    <row r="111" s="17" customFormat="1" customHeight="1" spans="1:11">
      <c r="A111" s="4">
        <v>111</v>
      </c>
      <c r="B111" s="4">
        <v>2025</v>
      </c>
      <c r="C111" s="12">
        <v>6</v>
      </c>
      <c r="D111" s="12">
        <v>16</v>
      </c>
      <c r="E111" s="12" t="s">
        <v>147</v>
      </c>
      <c r="F111" s="21" t="str">
        <f>_xlfn.DISPIMG("ID_D3BA2E878B794D208DD16F574A9D1403",1)</f>
        <v>=DISPIMG("ID_D3BA2E878B794D208DD16F574A9D1403",1)</v>
      </c>
      <c r="G111" s="13" t="s">
        <v>13</v>
      </c>
      <c r="H111" s="12" t="s">
        <v>14</v>
      </c>
      <c r="I111" s="12" t="s">
        <v>15</v>
      </c>
      <c r="J111" s="12" t="s">
        <v>148</v>
      </c>
      <c r="K111" s="11"/>
    </row>
    <row r="112" s="17" customFormat="1" customHeight="1" spans="1:11">
      <c r="A112" s="4">
        <v>112</v>
      </c>
      <c r="B112" s="4">
        <v>2025</v>
      </c>
      <c r="C112" s="12">
        <v>6</v>
      </c>
      <c r="D112" s="12">
        <v>17</v>
      </c>
      <c r="E112" s="12" t="s">
        <v>17</v>
      </c>
      <c r="F112" s="21" t="str">
        <f>_xlfn.DISPIMG("ID_5AC04FDFF51F4873A3403CCF94AD36CB",1)</f>
        <v>=DISPIMG("ID_5AC04FDFF51F4873A3403CCF94AD36CB",1)</v>
      </c>
      <c r="G112" s="13" t="s">
        <v>13</v>
      </c>
      <c r="H112" s="12" t="s">
        <v>26</v>
      </c>
      <c r="I112" s="12" t="s">
        <v>15</v>
      </c>
      <c r="J112" s="12" t="s">
        <v>148</v>
      </c>
      <c r="K112" s="11"/>
    </row>
    <row r="113" s="17" customFormat="1" customHeight="1" spans="1:11">
      <c r="A113" s="4">
        <v>113</v>
      </c>
      <c r="B113" s="4">
        <v>2025</v>
      </c>
      <c r="C113" s="12">
        <v>6</v>
      </c>
      <c r="D113" s="12">
        <v>17</v>
      </c>
      <c r="E113" s="12" t="s">
        <v>17</v>
      </c>
      <c r="F113" s="21" t="str">
        <f>_xlfn.DISPIMG("ID_DFCCF9E5A03E4BE0B7909C30FD617DD1",1)</f>
        <v>=DISPIMG("ID_DFCCF9E5A03E4BE0B7909C30FD617DD1",1)</v>
      </c>
      <c r="G113" s="13" t="s">
        <v>13</v>
      </c>
      <c r="H113" s="12" t="s">
        <v>26</v>
      </c>
      <c r="I113" s="12" t="s">
        <v>15</v>
      </c>
      <c r="J113" s="12" t="s">
        <v>148</v>
      </c>
      <c r="K113" s="11"/>
    </row>
    <row r="114" s="17" customFormat="1" customHeight="1" spans="1:11">
      <c r="A114" s="4">
        <v>114</v>
      </c>
      <c r="B114" s="4">
        <v>2025</v>
      </c>
      <c r="C114" s="12">
        <v>6</v>
      </c>
      <c r="D114" s="12">
        <v>17</v>
      </c>
      <c r="E114" s="12" t="s">
        <v>17</v>
      </c>
      <c r="F114" s="21" t="str">
        <f>_xlfn.DISPIMG("ID_ECB1FCCDDCCD4702B3358C996AEA737B",1)</f>
        <v>=DISPIMG("ID_ECB1FCCDDCCD4702B3358C996AEA737B",1)</v>
      </c>
      <c r="G114" s="13" t="s">
        <v>13</v>
      </c>
      <c r="H114" s="12" t="s">
        <v>26</v>
      </c>
      <c r="I114" s="12" t="s">
        <v>15</v>
      </c>
      <c r="J114" s="12" t="s">
        <v>35</v>
      </c>
      <c r="K114" s="11"/>
    </row>
    <row r="115" s="17" customFormat="1" customHeight="1" spans="1:11">
      <c r="A115" s="4">
        <v>115</v>
      </c>
      <c r="B115" s="4">
        <v>2025</v>
      </c>
      <c r="C115" s="12">
        <v>6</v>
      </c>
      <c r="D115" s="12">
        <v>17</v>
      </c>
      <c r="E115" s="12" t="s">
        <v>17</v>
      </c>
      <c r="F115" s="21" t="str">
        <f>_xlfn.DISPIMG("ID_80A05DBA2CC946E19840B271752DA5C3",1)</f>
        <v>=DISPIMG("ID_80A05DBA2CC946E19840B271752DA5C3",1)</v>
      </c>
      <c r="G115" s="13" t="s">
        <v>13</v>
      </c>
      <c r="H115" s="12" t="s">
        <v>26</v>
      </c>
      <c r="I115" s="12" t="s">
        <v>15</v>
      </c>
      <c r="J115" s="12" t="s">
        <v>35</v>
      </c>
      <c r="K115" s="11"/>
    </row>
    <row r="116" s="17" customFormat="1" customHeight="1" spans="1:11">
      <c r="A116" s="4">
        <v>116</v>
      </c>
      <c r="B116" s="4">
        <v>2025</v>
      </c>
      <c r="C116" s="12">
        <v>6</v>
      </c>
      <c r="D116" s="12">
        <v>20</v>
      </c>
      <c r="E116" s="12" t="s">
        <v>149</v>
      </c>
      <c r="F116" s="21" t="str">
        <f>_xlfn.DISPIMG("ID_5B4565F2A0EB47AEA85D4999363C56FA",1)</f>
        <v>=DISPIMG("ID_5B4565F2A0EB47AEA85D4999363C56FA",1)</v>
      </c>
      <c r="G116" s="13" t="s">
        <v>13</v>
      </c>
      <c r="H116" s="12" t="s">
        <v>26</v>
      </c>
      <c r="I116" s="12" t="s">
        <v>15</v>
      </c>
      <c r="J116" s="12" t="s">
        <v>35</v>
      </c>
      <c r="K116" s="11"/>
    </row>
    <row r="117" s="17" customFormat="1" customHeight="1" spans="1:11">
      <c r="A117" s="4">
        <v>117</v>
      </c>
      <c r="B117" s="4">
        <v>2025</v>
      </c>
      <c r="C117" s="12">
        <v>6</v>
      </c>
      <c r="D117" s="12">
        <v>20</v>
      </c>
      <c r="E117" s="12" t="s">
        <v>150</v>
      </c>
      <c r="F117" s="21" t="str">
        <f>_xlfn.DISPIMG("ID_CDD0A6A21FBF48B0BCC9E35DD789404E",1)</f>
        <v>=DISPIMG("ID_CDD0A6A21FBF48B0BCC9E35DD789404E",1)</v>
      </c>
      <c r="G117" s="13" t="s">
        <v>13</v>
      </c>
      <c r="H117" s="12" t="s">
        <v>26</v>
      </c>
      <c r="I117" s="12" t="s">
        <v>15</v>
      </c>
      <c r="J117" s="12" t="s">
        <v>35</v>
      </c>
      <c r="K117" s="11"/>
    </row>
    <row r="118" s="17" customFormat="1" customHeight="1" spans="1:11">
      <c r="A118" s="4">
        <v>118</v>
      </c>
      <c r="B118" s="4">
        <v>2025</v>
      </c>
      <c r="C118" s="12">
        <v>6</v>
      </c>
      <c r="D118" s="12">
        <v>20</v>
      </c>
      <c r="E118" s="12" t="s">
        <v>17</v>
      </c>
      <c r="F118" s="21" t="str">
        <f>_xlfn.DISPIMG("ID_1477B170F5BA4C0291CBF50E0619EE68",1)</f>
        <v>=DISPIMG("ID_1477B170F5BA4C0291CBF50E0619EE68",1)</v>
      </c>
      <c r="G118" s="13" t="s">
        <v>13</v>
      </c>
      <c r="H118" s="12" t="s">
        <v>26</v>
      </c>
      <c r="I118" s="12" t="s">
        <v>15</v>
      </c>
      <c r="J118" s="12" t="s">
        <v>35</v>
      </c>
      <c r="K118" s="11"/>
    </row>
    <row r="119" s="17" customFormat="1" customHeight="1" spans="1:11">
      <c r="A119" s="4">
        <v>119</v>
      </c>
      <c r="B119" s="4">
        <v>2025</v>
      </c>
      <c r="C119" s="12">
        <v>6</v>
      </c>
      <c r="D119" s="12">
        <v>20</v>
      </c>
      <c r="E119" s="12" t="s">
        <v>151</v>
      </c>
      <c r="F119" s="21" t="str">
        <f>_xlfn.DISPIMG("ID_88D65CEA551C47CE8AE08FE2EF47D0ED",1)</f>
        <v>=DISPIMG("ID_88D65CEA551C47CE8AE08FE2EF47D0ED",1)</v>
      </c>
      <c r="G119" s="13" t="s">
        <v>13</v>
      </c>
      <c r="H119" s="12" t="s">
        <v>26</v>
      </c>
      <c r="I119" s="12" t="s">
        <v>15</v>
      </c>
      <c r="J119" s="12" t="s">
        <v>34</v>
      </c>
      <c r="K119" s="11"/>
    </row>
    <row r="120" s="17" customFormat="1" customHeight="1" spans="1:11">
      <c r="A120" s="4">
        <v>120</v>
      </c>
      <c r="B120" s="4">
        <v>2025</v>
      </c>
      <c r="C120" s="12">
        <v>6</v>
      </c>
      <c r="D120" s="12">
        <v>25</v>
      </c>
      <c r="E120" s="12" t="s">
        <v>152</v>
      </c>
      <c r="F120" s="21" t="str">
        <f>_xlfn.DISPIMG("ID_F998A78FC1A849FBA51A48D54EFA3D78",1)</f>
        <v>=DISPIMG("ID_F998A78FC1A849FBA51A48D54EFA3D78",1)</v>
      </c>
      <c r="G120" s="13" t="s">
        <v>13</v>
      </c>
      <c r="H120" s="12" t="s">
        <v>26</v>
      </c>
      <c r="I120" s="12" t="s">
        <v>15</v>
      </c>
      <c r="J120" s="12" t="s">
        <v>16</v>
      </c>
      <c r="K120" s="11"/>
    </row>
    <row r="121" s="17" customFormat="1" customHeight="1" spans="1:11">
      <c r="A121" s="4">
        <v>121</v>
      </c>
      <c r="B121" s="4">
        <v>2025</v>
      </c>
      <c r="C121" s="12">
        <v>6</v>
      </c>
      <c r="D121" s="12">
        <v>25</v>
      </c>
      <c r="E121" s="12" t="s">
        <v>153</v>
      </c>
      <c r="F121" s="21" t="str">
        <f>_xlfn.DISPIMG("ID_207884999AC345B794D54A878A98530E",1)</f>
        <v>=DISPIMG("ID_207884999AC345B794D54A878A98530E",1)</v>
      </c>
      <c r="G121" s="13" t="s">
        <v>13</v>
      </c>
      <c r="H121" s="12" t="s">
        <v>26</v>
      </c>
      <c r="I121" s="12" t="s">
        <v>15</v>
      </c>
      <c r="J121" s="12" t="s">
        <v>16</v>
      </c>
      <c r="K121" s="11"/>
    </row>
    <row r="122" s="17" customFormat="1" customHeight="1" spans="1:11">
      <c r="A122" s="4">
        <v>122</v>
      </c>
      <c r="B122" s="4">
        <v>2025</v>
      </c>
      <c r="C122" s="12">
        <v>6</v>
      </c>
      <c r="D122" s="12">
        <v>25</v>
      </c>
      <c r="E122" s="12" t="s">
        <v>17</v>
      </c>
      <c r="F122" s="21" t="str">
        <f>_xlfn.DISPIMG("ID_97343DF5DA9F427B81E2497FD6355FBA",1)</f>
        <v>=DISPIMG("ID_97343DF5DA9F427B81E2497FD6355FBA",1)</v>
      </c>
      <c r="G122" s="13" t="s">
        <v>13</v>
      </c>
      <c r="H122" s="12" t="s">
        <v>26</v>
      </c>
      <c r="I122" s="12" t="s">
        <v>15</v>
      </c>
      <c r="J122" s="12" t="s">
        <v>16</v>
      </c>
      <c r="K122" s="11"/>
    </row>
    <row r="123" s="17" customFormat="1" customHeight="1" spans="1:11">
      <c r="A123" s="4">
        <v>123</v>
      </c>
      <c r="B123" s="4">
        <v>2025</v>
      </c>
      <c r="C123" s="12">
        <v>6</v>
      </c>
      <c r="D123" s="12">
        <v>25</v>
      </c>
      <c r="E123" s="12" t="s">
        <v>17</v>
      </c>
      <c r="F123" s="21" t="str">
        <f>_xlfn.DISPIMG("ID_48430C91F1014D32A9B3E0FECE6E4E8F",1)</f>
        <v>=DISPIMG("ID_48430C91F1014D32A9B3E0FECE6E4E8F",1)</v>
      </c>
      <c r="G123" s="13" t="s">
        <v>13</v>
      </c>
      <c r="H123" s="12" t="s">
        <v>26</v>
      </c>
      <c r="I123" s="12" t="s">
        <v>15</v>
      </c>
      <c r="J123" s="12" t="s">
        <v>16</v>
      </c>
      <c r="K123" s="11"/>
    </row>
    <row r="124" s="17" customFormat="1" customHeight="1" spans="1:11">
      <c r="A124" s="4">
        <v>124</v>
      </c>
      <c r="B124" s="4">
        <v>2025</v>
      </c>
      <c r="C124" s="12">
        <v>6</v>
      </c>
      <c r="D124" s="12">
        <v>28</v>
      </c>
      <c r="E124" s="12" t="s">
        <v>17</v>
      </c>
      <c r="F124" s="21" t="str">
        <f>_xlfn.DISPIMG("ID_C59257B88DDA4D64A3A79E42DB53C5D6",1)</f>
        <v>=DISPIMG("ID_C59257B88DDA4D64A3A79E42DB53C5D6",1)</v>
      </c>
      <c r="G124" s="13" t="s">
        <v>13</v>
      </c>
      <c r="H124" s="12" t="s">
        <v>14</v>
      </c>
      <c r="I124" s="12" t="s">
        <v>22</v>
      </c>
      <c r="J124" s="12" t="s">
        <v>154</v>
      </c>
      <c r="K124" s="11"/>
    </row>
    <row r="125" s="17" customFormat="1" customHeight="1" spans="1:11">
      <c r="A125" s="4">
        <v>125</v>
      </c>
      <c r="B125" s="4">
        <v>2025</v>
      </c>
      <c r="C125" s="12">
        <v>6</v>
      </c>
      <c r="D125" s="12">
        <v>28</v>
      </c>
      <c r="E125" s="12" t="s">
        <v>155</v>
      </c>
      <c r="F125" s="21" t="str">
        <f>_xlfn.DISPIMG("ID_449AA8437244402EBBD112871A5BDCC7",1)</f>
        <v>=DISPIMG("ID_449AA8437244402EBBD112871A5BDCC7",1)</v>
      </c>
      <c r="G125" s="13" t="s">
        <v>21</v>
      </c>
      <c r="H125" s="12" t="s">
        <v>14</v>
      </c>
      <c r="I125" s="12" t="s">
        <v>24</v>
      </c>
      <c r="J125" s="12" t="s">
        <v>156</v>
      </c>
      <c r="K125" s="11"/>
    </row>
    <row r="126" s="17" customFormat="1" customHeight="1" spans="1:11">
      <c r="A126" s="4">
        <v>126</v>
      </c>
      <c r="B126" s="4">
        <v>2025</v>
      </c>
      <c r="C126" s="4">
        <v>7</v>
      </c>
      <c r="D126" s="4">
        <v>2</v>
      </c>
      <c r="E126" s="13" t="s">
        <v>157</v>
      </c>
      <c r="F126" s="22" t="str">
        <f>_xlfn.DISPIMG("ID_D07AEC474C6247129AF2E6E81BA6C81A",1)</f>
        <v>=DISPIMG("ID_D07AEC474C6247129AF2E6E81BA6C81A",1)</v>
      </c>
      <c r="G126" s="13" t="s">
        <v>13</v>
      </c>
      <c r="H126" s="12" t="s">
        <v>26</v>
      </c>
      <c r="I126" s="12" t="s">
        <v>15</v>
      </c>
      <c r="J126" s="13" t="s">
        <v>35</v>
      </c>
      <c r="K126" s="11"/>
    </row>
    <row r="127" s="17" customFormat="1" customHeight="1" spans="1:11">
      <c r="A127" s="4">
        <v>127</v>
      </c>
      <c r="B127" s="4">
        <v>2025</v>
      </c>
      <c r="C127" s="4">
        <v>7</v>
      </c>
      <c r="D127" s="4">
        <v>2</v>
      </c>
      <c r="E127" s="12" t="s">
        <v>158</v>
      </c>
      <c r="F127" s="20" t="str">
        <f>_xlfn.DISPIMG("ID_5A119AE8DB354E119E6D74F0C96568AE",1)</f>
        <v>=DISPIMG("ID_5A119AE8DB354E119E6D74F0C96568AE",1)</v>
      </c>
      <c r="G127" s="13" t="s">
        <v>13</v>
      </c>
      <c r="H127" s="12" t="s">
        <v>26</v>
      </c>
      <c r="I127" s="12" t="s">
        <v>15</v>
      </c>
      <c r="J127" s="12" t="s">
        <v>159</v>
      </c>
      <c r="K127" s="11"/>
    </row>
    <row r="128" s="17" customFormat="1" customHeight="1" spans="1:11">
      <c r="A128" s="4">
        <v>128</v>
      </c>
      <c r="B128" s="4">
        <v>2025</v>
      </c>
      <c r="C128" s="12">
        <v>7</v>
      </c>
      <c r="D128" s="12">
        <v>3</v>
      </c>
      <c r="E128" s="12" t="s">
        <v>106</v>
      </c>
      <c r="F128" s="15" t="str">
        <f>_xlfn.DISPIMG("ID_F9E0BEA8E2AF4E1FA6D246F80A2B6115",1)</f>
        <v>=DISPIMG("ID_F9E0BEA8E2AF4E1FA6D246F80A2B6115",1)</v>
      </c>
      <c r="G128" s="13" t="s">
        <v>13</v>
      </c>
      <c r="H128" s="12" t="s">
        <v>26</v>
      </c>
      <c r="I128" s="12" t="s">
        <v>160</v>
      </c>
      <c r="J128" s="13" t="s">
        <v>35</v>
      </c>
      <c r="K128" s="11"/>
    </row>
    <row r="129" s="17" customFormat="1" customHeight="1" spans="1:11">
      <c r="A129" s="4">
        <v>129</v>
      </c>
      <c r="B129" s="4">
        <v>2025</v>
      </c>
      <c r="C129" s="12">
        <v>7</v>
      </c>
      <c r="D129" s="12">
        <v>3</v>
      </c>
      <c r="E129" s="12" t="s">
        <v>161</v>
      </c>
      <c r="F129" s="21" t="str">
        <f>_xlfn.DISPIMG("ID_905D2C6A996A4EC980F67AF9DF074E61",1)</f>
        <v>=DISPIMG("ID_905D2C6A996A4EC980F67AF9DF074E61",1)</v>
      </c>
      <c r="G129" s="13" t="s">
        <v>13</v>
      </c>
      <c r="H129" s="12" t="s">
        <v>26</v>
      </c>
      <c r="I129" s="12" t="s">
        <v>160</v>
      </c>
      <c r="J129" s="12" t="s">
        <v>162</v>
      </c>
      <c r="K129" s="11"/>
    </row>
    <row r="130" s="17" customFormat="1" customHeight="1" spans="1:11">
      <c r="A130" s="4">
        <v>130</v>
      </c>
      <c r="B130" s="4">
        <v>2025</v>
      </c>
      <c r="C130" s="12">
        <v>7</v>
      </c>
      <c r="D130" s="12">
        <v>3</v>
      </c>
      <c r="E130" s="12" t="s">
        <v>163</v>
      </c>
      <c r="F130" s="21" t="str">
        <f>_xlfn.DISPIMG("ID_0331956DFC9643D48A991D6E3827F088",1)</f>
        <v>=DISPIMG("ID_0331956DFC9643D48A991D6E3827F088",1)</v>
      </c>
      <c r="G130" s="13" t="s">
        <v>13</v>
      </c>
      <c r="H130" s="12" t="s">
        <v>14</v>
      </c>
      <c r="I130" s="12" t="s">
        <v>24</v>
      </c>
      <c r="J130" s="12" t="s">
        <v>164</v>
      </c>
      <c r="K130" s="11"/>
    </row>
    <row r="131" s="17" customFormat="1" customHeight="1" spans="1:11">
      <c r="A131" s="4">
        <v>131</v>
      </c>
      <c r="B131" s="4">
        <v>2025</v>
      </c>
      <c r="C131" s="12">
        <v>7</v>
      </c>
      <c r="D131" s="12">
        <v>4</v>
      </c>
      <c r="E131" s="12" t="s">
        <v>165</v>
      </c>
      <c r="F131" s="21" t="str">
        <f>_xlfn.DISPIMG("ID_1F2A2027D7E14F7E94D2D17B0C8E66C9",1)</f>
        <v>=DISPIMG("ID_1F2A2027D7E14F7E94D2D17B0C8E66C9",1)</v>
      </c>
      <c r="G131" s="13" t="s">
        <v>13</v>
      </c>
      <c r="H131" s="12" t="s">
        <v>26</v>
      </c>
      <c r="I131" s="12" t="s">
        <v>160</v>
      </c>
      <c r="J131" s="12" t="s">
        <v>166</v>
      </c>
      <c r="K131" s="11"/>
    </row>
    <row r="132" s="17" customFormat="1" customHeight="1" spans="1:11">
      <c r="A132" s="4">
        <v>132</v>
      </c>
      <c r="B132" s="4">
        <v>2025</v>
      </c>
      <c r="C132" s="12">
        <v>7</v>
      </c>
      <c r="D132" s="12">
        <v>4</v>
      </c>
      <c r="E132" s="12" t="s">
        <v>17</v>
      </c>
      <c r="F132" s="21" t="str">
        <f>_xlfn.DISPIMG("ID_57ACAD69BF364FB0ABBB494924E8A8E5",1)</f>
        <v>=DISPIMG("ID_57ACAD69BF364FB0ABBB494924E8A8E5",1)</v>
      </c>
      <c r="G132" s="13" t="s">
        <v>13</v>
      </c>
      <c r="H132" s="12" t="s">
        <v>26</v>
      </c>
      <c r="I132" s="12" t="s">
        <v>15</v>
      </c>
      <c r="J132" s="12" t="s">
        <v>167</v>
      </c>
      <c r="K132" s="11"/>
    </row>
    <row r="133" s="17" customFormat="1" customHeight="1" spans="1:11">
      <c r="A133" s="4">
        <v>133</v>
      </c>
      <c r="B133" s="4">
        <v>2025</v>
      </c>
      <c r="C133" s="12">
        <v>7</v>
      </c>
      <c r="D133" s="12">
        <v>4</v>
      </c>
      <c r="E133" s="12" t="s">
        <v>17</v>
      </c>
      <c r="F133" s="21" t="str">
        <f>_xlfn.DISPIMG("ID_048BF20984324C7788DA542FE2242526",1)</f>
        <v>=DISPIMG("ID_048BF20984324C7788DA542FE2242526",1)</v>
      </c>
      <c r="G133" s="13" t="s">
        <v>13</v>
      </c>
      <c r="H133" s="12" t="s">
        <v>26</v>
      </c>
      <c r="I133" s="12" t="s">
        <v>15</v>
      </c>
      <c r="J133" s="12" t="s">
        <v>167</v>
      </c>
      <c r="K133" s="11"/>
    </row>
    <row r="134" s="17" customFormat="1" customHeight="1" spans="1:11">
      <c r="A134" s="4">
        <v>134</v>
      </c>
      <c r="B134" s="4">
        <v>2025</v>
      </c>
      <c r="C134" s="12">
        <v>7</v>
      </c>
      <c r="D134" s="12">
        <v>7</v>
      </c>
      <c r="E134" s="12" t="s">
        <v>168</v>
      </c>
      <c r="F134" s="21" t="str">
        <f>_xlfn.DISPIMG("ID_CAF4CAA7711F48478B4EAF5DECDE6D23",1)</f>
        <v>=DISPIMG("ID_CAF4CAA7711F48478B4EAF5DECDE6D23",1)</v>
      </c>
      <c r="G134" s="13" t="s">
        <v>13</v>
      </c>
      <c r="H134" s="12" t="s">
        <v>26</v>
      </c>
      <c r="I134" s="12" t="s">
        <v>15</v>
      </c>
      <c r="J134" s="12" t="s">
        <v>166</v>
      </c>
      <c r="K134" s="11"/>
    </row>
    <row r="135" s="17" customFormat="1" customHeight="1" spans="1:11">
      <c r="A135" s="4">
        <v>135</v>
      </c>
      <c r="B135" s="4">
        <v>2025</v>
      </c>
      <c r="C135" s="12">
        <v>7</v>
      </c>
      <c r="D135" s="12">
        <v>7</v>
      </c>
      <c r="E135" s="12" t="s">
        <v>17</v>
      </c>
      <c r="F135" s="21" t="str">
        <f>_xlfn.DISPIMG("ID_458B62B0F456482F9AACBA01530FD43C",1)</f>
        <v>=DISPIMG("ID_458B62B0F456482F9AACBA01530FD43C",1)</v>
      </c>
      <c r="G135" s="13" t="s">
        <v>13</v>
      </c>
      <c r="H135" s="12" t="s">
        <v>14</v>
      </c>
      <c r="I135" s="12" t="s">
        <v>22</v>
      </c>
      <c r="J135" s="12" t="s">
        <v>51</v>
      </c>
      <c r="K135" s="11"/>
    </row>
    <row r="136" s="17" customFormat="1" customHeight="1" spans="1:11">
      <c r="A136" s="4">
        <v>136</v>
      </c>
      <c r="B136" s="4">
        <v>2025</v>
      </c>
      <c r="C136" s="12">
        <v>7</v>
      </c>
      <c r="D136" s="12">
        <v>8</v>
      </c>
      <c r="E136" s="12" t="s">
        <v>169</v>
      </c>
      <c r="F136" s="21" t="str">
        <f>_xlfn.DISPIMG("ID_3283B948DCA94F8887FEB16DDA3CF11F",1)</f>
        <v>=DISPIMG("ID_3283B948DCA94F8887FEB16DDA3CF11F",1)</v>
      </c>
      <c r="G136" s="13" t="s">
        <v>13</v>
      </c>
      <c r="H136" s="12" t="s">
        <v>14</v>
      </c>
      <c r="I136" s="12" t="s">
        <v>15</v>
      </c>
      <c r="J136" s="12" t="s">
        <v>16</v>
      </c>
      <c r="K136" s="11"/>
    </row>
    <row r="137" s="17" customFormat="1" customHeight="1" spans="1:11">
      <c r="A137" s="4">
        <v>137</v>
      </c>
      <c r="B137" s="4">
        <v>2025</v>
      </c>
      <c r="C137" s="12">
        <v>7</v>
      </c>
      <c r="D137" s="12">
        <v>8</v>
      </c>
      <c r="E137" s="12" t="s">
        <v>170</v>
      </c>
      <c r="F137" s="21" t="str">
        <f>_xlfn.DISPIMG("ID_D2E6F26AC1814D8391491D0B18A2C191",1)</f>
        <v>=DISPIMG("ID_D2E6F26AC1814D8391491D0B18A2C191",1)</v>
      </c>
      <c r="G137" s="13" t="s">
        <v>13</v>
      </c>
      <c r="H137" s="12" t="s">
        <v>26</v>
      </c>
      <c r="I137" s="12" t="s">
        <v>15</v>
      </c>
      <c r="J137" s="12" t="s">
        <v>107</v>
      </c>
      <c r="K137" s="11"/>
    </row>
    <row r="138" s="17" customFormat="1" customHeight="1" spans="1:11">
      <c r="A138" s="4">
        <v>138</v>
      </c>
      <c r="B138" s="4">
        <v>2025</v>
      </c>
      <c r="C138" s="12">
        <v>7</v>
      </c>
      <c r="D138" s="12">
        <v>8</v>
      </c>
      <c r="E138" s="12" t="s">
        <v>171</v>
      </c>
      <c r="F138" s="21" t="str">
        <f>_xlfn.DISPIMG("ID_87323387E26A431CB3B064FE863A9195",1)</f>
        <v>=DISPIMG("ID_87323387E26A431CB3B064FE863A9195",1)</v>
      </c>
      <c r="G138" s="13" t="s">
        <v>13</v>
      </c>
      <c r="H138" s="12" t="s">
        <v>26</v>
      </c>
      <c r="I138" s="12" t="s">
        <v>15</v>
      </c>
      <c r="J138" s="12" t="s">
        <v>129</v>
      </c>
      <c r="K138" s="11"/>
    </row>
    <row r="139" s="17" customFormat="1" customHeight="1" spans="1:11">
      <c r="A139" s="4">
        <v>139</v>
      </c>
      <c r="B139" s="4">
        <v>2025</v>
      </c>
      <c r="C139" s="12">
        <v>7</v>
      </c>
      <c r="D139" s="12">
        <v>8</v>
      </c>
      <c r="E139" s="12" t="s">
        <v>17</v>
      </c>
      <c r="F139" s="21" t="str">
        <f>_xlfn.DISPIMG("ID_DECAF283E1A5421D9AF29AA09EE29964",1)</f>
        <v>=DISPIMG("ID_DECAF283E1A5421D9AF29AA09EE29964",1)</v>
      </c>
      <c r="G139" s="13" t="s">
        <v>13</v>
      </c>
      <c r="H139" s="12" t="s">
        <v>26</v>
      </c>
      <c r="I139" s="12" t="s">
        <v>15</v>
      </c>
      <c r="J139" s="12" t="s">
        <v>129</v>
      </c>
      <c r="K139" s="11"/>
    </row>
    <row r="140" s="17" customFormat="1" customHeight="1" spans="1:11">
      <c r="A140" s="4">
        <v>140</v>
      </c>
      <c r="B140" s="4">
        <v>2025</v>
      </c>
      <c r="C140" s="12">
        <v>7</v>
      </c>
      <c r="D140" s="12">
        <v>11</v>
      </c>
      <c r="E140" s="12" t="s">
        <v>172</v>
      </c>
      <c r="F140" s="21" t="str">
        <f>_xlfn.DISPIMG("ID_890CB8645B7F41AE9DAF6DCFBD806564",1)</f>
        <v>=DISPIMG("ID_890CB8645B7F41AE9DAF6DCFBD806564",1)</v>
      </c>
      <c r="G140" s="13" t="s">
        <v>13</v>
      </c>
      <c r="H140" s="12" t="s">
        <v>26</v>
      </c>
      <c r="I140" s="12" t="s">
        <v>15</v>
      </c>
      <c r="J140" s="12" t="s">
        <v>173</v>
      </c>
      <c r="K140" s="11"/>
    </row>
    <row r="141" s="17" customFormat="1" customHeight="1" spans="1:11">
      <c r="A141" s="4">
        <v>141</v>
      </c>
      <c r="B141" s="4">
        <v>2025</v>
      </c>
      <c r="C141" s="12">
        <v>7</v>
      </c>
      <c r="D141" s="12">
        <v>14</v>
      </c>
      <c r="E141" s="12" t="s">
        <v>174</v>
      </c>
      <c r="F141" s="21" t="str">
        <f>_xlfn.DISPIMG("ID_29A50EAA28EF4EBAA51D48E9FAD28620",1)</f>
        <v>=DISPIMG("ID_29A50EAA28EF4EBAA51D48E9FAD28620",1)</v>
      </c>
      <c r="G141" s="13" t="s">
        <v>13</v>
      </c>
      <c r="H141" s="12" t="s">
        <v>14</v>
      </c>
      <c r="I141" s="12" t="s">
        <v>22</v>
      </c>
      <c r="J141" s="12" t="s">
        <v>175</v>
      </c>
      <c r="K141" s="11"/>
    </row>
    <row r="142" s="17" customFormat="1" customHeight="1" spans="1:11">
      <c r="A142" s="4">
        <v>143</v>
      </c>
      <c r="B142" s="4">
        <v>2025</v>
      </c>
      <c r="C142" s="12">
        <v>7</v>
      </c>
      <c r="D142" s="12">
        <v>16</v>
      </c>
      <c r="E142" s="12" t="s">
        <v>176</v>
      </c>
      <c r="F142" s="21" t="str">
        <f>_xlfn.DISPIMG("ID_D2CBA9DEBEAE441D8ACE6675A61A7AA9",1)</f>
        <v>=DISPIMG("ID_D2CBA9DEBEAE441D8ACE6675A61A7AA9",1)</v>
      </c>
      <c r="G142" s="13" t="s">
        <v>13</v>
      </c>
      <c r="H142" s="12" t="s">
        <v>14</v>
      </c>
      <c r="I142" s="12" t="s">
        <v>22</v>
      </c>
      <c r="J142" s="12" t="s">
        <v>51</v>
      </c>
      <c r="K142" s="11"/>
    </row>
    <row r="143" s="17" customFormat="1" customHeight="1" spans="1:11">
      <c r="A143" s="4">
        <v>144</v>
      </c>
      <c r="B143" s="4">
        <v>2025</v>
      </c>
      <c r="C143" s="12">
        <v>7</v>
      </c>
      <c r="D143" s="12">
        <v>28</v>
      </c>
      <c r="E143" s="12" t="s">
        <v>17</v>
      </c>
      <c r="F143" s="21" t="str">
        <f>_xlfn.DISPIMG("ID_E37F1C070EF145BFB84E52E3065DC224",1)</f>
        <v>=DISPIMG("ID_E37F1C070EF145BFB84E52E3065DC224",1)</v>
      </c>
      <c r="G143" s="13" t="s">
        <v>13</v>
      </c>
      <c r="H143" s="12" t="s">
        <v>14</v>
      </c>
      <c r="I143" s="12" t="s">
        <v>24</v>
      </c>
      <c r="J143" s="12" t="s">
        <v>177</v>
      </c>
      <c r="K143" s="11"/>
    </row>
    <row r="144" s="17" customFormat="1" customHeight="1" spans="1:11">
      <c r="A144" s="4">
        <v>145</v>
      </c>
      <c r="B144" s="4">
        <v>2025</v>
      </c>
      <c r="C144" s="12">
        <v>7</v>
      </c>
      <c r="D144" s="12">
        <v>28</v>
      </c>
      <c r="E144" s="12" t="s">
        <v>178</v>
      </c>
      <c r="F144" s="21" t="str">
        <f>_xlfn.DISPIMG("ID_D4766691700240A4A1086E2B66F8DD2D",1)</f>
        <v>=DISPIMG("ID_D4766691700240A4A1086E2B66F8DD2D",1)</v>
      </c>
      <c r="G144" s="13" t="s">
        <v>13</v>
      </c>
      <c r="H144" s="12" t="s">
        <v>14</v>
      </c>
      <c r="I144" s="12" t="s">
        <v>24</v>
      </c>
      <c r="J144" s="12" t="s">
        <v>177</v>
      </c>
      <c r="K144" s="11"/>
    </row>
    <row r="145" s="17" customFormat="1" customHeight="1" spans="1:11">
      <c r="A145" s="4">
        <v>146</v>
      </c>
      <c r="B145" s="4">
        <v>2025</v>
      </c>
      <c r="C145" s="12">
        <v>7</v>
      </c>
      <c r="D145" s="12">
        <v>29</v>
      </c>
      <c r="E145" s="12" t="s">
        <v>17</v>
      </c>
      <c r="F145" s="21" t="str">
        <f>_xlfn.DISPIMG("ID_10FCF0680DD84103BC6B6B8081E6B81A",1)</f>
        <v>=DISPIMG("ID_10FCF0680DD84103BC6B6B8081E6B81A",1)</v>
      </c>
      <c r="G145" s="13" t="s">
        <v>13</v>
      </c>
      <c r="H145" s="12" t="s">
        <v>14</v>
      </c>
      <c r="I145" s="12" t="s">
        <v>22</v>
      </c>
      <c r="J145" s="12" t="s">
        <v>179</v>
      </c>
      <c r="K145" s="11"/>
    </row>
    <row r="146" s="17" customFormat="1" customHeight="1" spans="1:11">
      <c r="A146" s="4">
        <v>147</v>
      </c>
      <c r="B146" s="4">
        <v>2025</v>
      </c>
      <c r="C146" s="12">
        <v>7</v>
      </c>
      <c r="D146" s="12">
        <v>30</v>
      </c>
      <c r="E146" s="12" t="s">
        <v>180</v>
      </c>
      <c r="F146" s="21" t="str">
        <f>_xlfn.DISPIMG("ID_09DE123D35544B659897F0A08ED94755",1)</f>
        <v>=DISPIMG("ID_09DE123D35544B659897F0A08ED94755",1)</v>
      </c>
      <c r="G146" s="13" t="s">
        <v>13</v>
      </c>
      <c r="H146" s="12" t="s">
        <v>14</v>
      </c>
      <c r="I146" s="12" t="s">
        <v>24</v>
      </c>
      <c r="J146" s="12" t="s">
        <v>181</v>
      </c>
      <c r="K146" s="11"/>
    </row>
    <row r="147" s="17" customFormat="1" customHeight="1" spans="1:11">
      <c r="A147" s="4">
        <v>148</v>
      </c>
      <c r="B147" s="4">
        <v>2025</v>
      </c>
      <c r="C147" s="12">
        <v>8</v>
      </c>
      <c r="D147" s="12">
        <v>11</v>
      </c>
      <c r="E147" s="12" t="s">
        <v>182</v>
      </c>
      <c r="F147" s="21" t="str">
        <f>_xlfn.DISPIMG("ID_25561C5D98D749EFBC76DD937A769D53",1)</f>
        <v>=DISPIMG("ID_25561C5D98D749EFBC76DD937A769D53",1)</v>
      </c>
      <c r="G147" s="13" t="s">
        <v>13</v>
      </c>
      <c r="H147" s="12" t="s">
        <v>26</v>
      </c>
      <c r="I147" s="12" t="s">
        <v>15</v>
      </c>
      <c r="J147" s="12" t="s">
        <v>16</v>
      </c>
      <c r="K147" s="11"/>
    </row>
    <row r="148" s="17" customFormat="1" customHeight="1" spans="1:11">
      <c r="A148" s="4">
        <v>149</v>
      </c>
      <c r="B148" s="4">
        <v>2025</v>
      </c>
      <c r="C148" s="12">
        <v>8</v>
      </c>
      <c r="D148" s="12">
        <v>11</v>
      </c>
      <c r="E148" s="12" t="s">
        <v>17</v>
      </c>
      <c r="F148" s="21" t="str">
        <f>_xlfn.DISPIMG("ID_A82EA735FEF8417F9EC079DAF1A6CBA7",1)</f>
        <v>=DISPIMG("ID_A82EA735FEF8417F9EC079DAF1A6CBA7",1)</v>
      </c>
      <c r="G148" s="13" t="s">
        <v>13</v>
      </c>
      <c r="H148" s="12" t="s">
        <v>26</v>
      </c>
      <c r="I148" s="12" t="s">
        <v>15</v>
      </c>
      <c r="J148" s="12" t="s">
        <v>16</v>
      </c>
      <c r="K148" s="11"/>
    </row>
    <row r="149" s="17" customFormat="1" customHeight="1" spans="1:11">
      <c r="A149" s="4">
        <v>150</v>
      </c>
      <c r="B149" s="4">
        <v>2025</v>
      </c>
      <c r="C149" s="12">
        <v>8</v>
      </c>
      <c r="D149" s="12">
        <v>11</v>
      </c>
      <c r="E149" s="12" t="s">
        <v>17</v>
      </c>
      <c r="F149" s="21" t="str">
        <f>_xlfn.DISPIMG("ID_DC6B027969B54646ADA0CAF7215EC759",1)</f>
        <v>=DISPIMG("ID_DC6B027969B54646ADA0CAF7215EC759",1)</v>
      </c>
      <c r="G149" s="13" t="s">
        <v>13</v>
      </c>
      <c r="H149" s="12" t="s">
        <v>26</v>
      </c>
      <c r="I149" s="12" t="s">
        <v>15</v>
      </c>
      <c r="J149" s="12" t="s">
        <v>16</v>
      </c>
      <c r="K149" s="11"/>
    </row>
    <row r="150" s="17" customFormat="1" customHeight="1" spans="1:11">
      <c r="A150" s="4">
        <v>151</v>
      </c>
      <c r="B150" s="4">
        <v>2025</v>
      </c>
      <c r="C150" s="12">
        <v>8</v>
      </c>
      <c r="D150" s="12">
        <v>11</v>
      </c>
      <c r="E150" s="12" t="s">
        <v>17</v>
      </c>
      <c r="F150" s="21" t="str">
        <f>_xlfn.DISPIMG("ID_085D8AEA73EE4A14945A20783A8B9847",1)</f>
        <v>=DISPIMG("ID_085D8AEA73EE4A14945A20783A8B9847",1)</v>
      </c>
      <c r="G150" s="13" t="s">
        <v>13</v>
      </c>
      <c r="H150" s="12" t="s">
        <v>26</v>
      </c>
      <c r="I150" s="12" t="s">
        <v>15</v>
      </c>
      <c r="J150" s="12" t="s">
        <v>16</v>
      </c>
      <c r="K150" s="11"/>
    </row>
    <row r="151" s="17" customFormat="1" customHeight="1" spans="1:11">
      <c r="A151" s="4">
        <v>152</v>
      </c>
      <c r="B151" s="4">
        <v>2025</v>
      </c>
      <c r="C151" s="12">
        <v>8</v>
      </c>
      <c r="D151" s="12">
        <v>13</v>
      </c>
      <c r="E151" s="12" t="s">
        <v>17</v>
      </c>
      <c r="F151" s="21" t="str">
        <f>_xlfn.DISPIMG("ID_4DC032CE91414C38B108D614ABD5F31B",1)</f>
        <v>=DISPIMG("ID_4DC032CE91414C38B108D614ABD5F31B",1)</v>
      </c>
      <c r="G151" s="13" t="s">
        <v>13</v>
      </c>
      <c r="H151" s="12" t="s">
        <v>14</v>
      </c>
      <c r="I151" s="12" t="s">
        <v>19</v>
      </c>
      <c r="J151" s="12" t="s">
        <v>183</v>
      </c>
      <c r="K151" s="11"/>
    </row>
    <row r="152" s="17" customFormat="1" customHeight="1" spans="1:11">
      <c r="A152" s="4">
        <v>153</v>
      </c>
      <c r="B152" s="4">
        <v>2025</v>
      </c>
      <c r="C152" s="12">
        <v>8</v>
      </c>
      <c r="D152" s="12">
        <v>14</v>
      </c>
      <c r="E152" s="12" t="s">
        <v>184</v>
      </c>
      <c r="F152" s="21" t="str">
        <f>_xlfn.DISPIMG("ID_2550326CB312497B94BE672A7F7F3A38",1)</f>
        <v>=DISPIMG("ID_2550326CB312497B94BE672A7F7F3A38",1)</v>
      </c>
      <c r="G152" s="13" t="s">
        <v>13</v>
      </c>
      <c r="H152" s="12" t="s">
        <v>26</v>
      </c>
      <c r="I152" s="12" t="s">
        <v>15</v>
      </c>
      <c r="J152" s="12" t="s">
        <v>185</v>
      </c>
      <c r="K152" s="11"/>
    </row>
    <row r="153" s="17" customFormat="1" customHeight="1" spans="1:11">
      <c r="A153" s="4">
        <v>155</v>
      </c>
      <c r="B153" s="4">
        <v>2025</v>
      </c>
      <c r="C153" s="12">
        <v>8</v>
      </c>
      <c r="D153" s="12">
        <v>14</v>
      </c>
      <c r="E153" s="12" t="s">
        <v>110</v>
      </c>
      <c r="F153" s="21" t="str">
        <f>_xlfn.DISPIMG("ID_3FFC5A4DF9214CBBBD1201138BDE29DF",1)</f>
        <v>=DISPIMG("ID_3FFC5A4DF9214CBBBD1201138BDE29DF",1)</v>
      </c>
      <c r="G153" s="13" t="s">
        <v>13</v>
      </c>
      <c r="H153" s="12" t="s">
        <v>26</v>
      </c>
      <c r="I153" s="12" t="s">
        <v>15</v>
      </c>
      <c r="J153" s="12" t="s">
        <v>34</v>
      </c>
      <c r="K153" s="11"/>
    </row>
    <row r="154" s="17" customFormat="1" customHeight="1" spans="1:11">
      <c r="A154" s="4">
        <v>156</v>
      </c>
      <c r="B154" s="4">
        <v>2025</v>
      </c>
      <c r="C154" s="12">
        <v>8</v>
      </c>
      <c r="D154" s="12">
        <v>14</v>
      </c>
      <c r="E154" s="12" t="s">
        <v>88</v>
      </c>
      <c r="F154" s="21" t="str">
        <f>_xlfn.DISPIMG("ID_4FE9AF1A509D417AA46CC1F8D7218D58",1)</f>
        <v>=DISPIMG("ID_4FE9AF1A509D417AA46CC1F8D7218D58",1)</v>
      </c>
      <c r="G154" s="13" t="s">
        <v>13</v>
      </c>
      <c r="H154" s="12" t="s">
        <v>26</v>
      </c>
      <c r="I154" s="12" t="s">
        <v>15</v>
      </c>
      <c r="J154" s="12" t="s">
        <v>34</v>
      </c>
      <c r="K154" s="11"/>
    </row>
    <row r="155" s="17" customFormat="1" customHeight="1" spans="1:11">
      <c r="A155" s="4">
        <v>157</v>
      </c>
      <c r="B155" s="4">
        <v>2025</v>
      </c>
      <c r="C155" s="12">
        <v>8</v>
      </c>
      <c r="D155" s="12">
        <v>14</v>
      </c>
      <c r="E155" s="12" t="s">
        <v>186</v>
      </c>
      <c r="F155" s="21" t="str">
        <f>_xlfn.DISPIMG("ID_C5EBE2096B364B05B1D4CE0819E925E1",1)</f>
        <v>=DISPIMG("ID_C5EBE2096B364B05B1D4CE0819E925E1",1)</v>
      </c>
      <c r="G155" s="13" t="s">
        <v>13</v>
      </c>
      <c r="H155" s="12" t="s">
        <v>26</v>
      </c>
      <c r="I155" s="12" t="s">
        <v>15</v>
      </c>
      <c r="J155" s="12" t="s">
        <v>34</v>
      </c>
      <c r="K155" s="11"/>
    </row>
    <row r="156" s="17" customFormat="1" customHeight="1" spans="1:11">
      <c r="A156" s="4">
        <v>158</v>
      </c>
      <c r="B156" s="4">
        <v>2025</v>
      </c>
      <c r="C156" s="12">
        <v>8</v>
      </c>
      <c r="D156" s="12">
        <v>15</v>
      </c>
      <c r="E156" s="12" t="s">
        <v>187</v>
      </c>
      <c r="F156" s="21" t="str">
        <f>_xlfn.DISPIMG("ID_C540AFF1AAF14D90ADF4678C63230026",1)</f>
        <v>=DISPIMG("ID_C540AFF1AAF14D90ADF4678C63230026",1)</v>
      </c>
      <c r="G156" s="13" t="s">
        <v>13</v>
      </c>
      <c r="H156" s="12" t="s">
        <v>14</v>
      </c>
      <c r="I156" s="12" t="s">
        <v>160</v>
      </c>
      <c r="J156" s="12" t="s">
        <v>162</v>
      </c>
      <c r="K156" s="11"/>
    </row>
    <row r="157" s="17" customFormat="1" customHeight="1" spans="1:11">
      <c r="A157" s="4">
        <v>159</v>
      </c>
      <c r="B157" s="4">
        <v>2025</v>
      </c>
      <c r="C157" s="12">
        <v>8</v>
      </c>
      <c r="D157" s="12">
        <v>15</v>
      </c>
      <c r="E157" s="12" t="s">
        <v>143</v>
      </c>
      <c r="F157" s="21" t="str">
        <f>_xlfn.DISPIMG("ID_FBF8EDB4E6144FD5926341D27064AE11",1)</f>
        <v>=DISPIMG("ID_FBF8EDB4E6144FD5926341D27064AE11",1)</v>
      </c>
      <c r="G157" s="13" t="s">
        <v>13</v>
      </c>
      <c r="H157" s="12" t="s">
        <v>14</v>
      </c>
      <c r="I157" s="12" t="s">
        <v>24</v>
      </c>
      <c r="J157" s="12" t="s">
        <v>111</v>
      </c>
      <c r="K157" s="11"/>
    </row>
    <row r="158" s="17" customFormat="1" customHeight="1" spans="1:11">
      <c r="A158" s="4">
        <v>160</v>
      </c>
      <c r="B158" s="4">
        <v>2025</v>
      </c>
      <c r="C158" s="12">
        <v>8</v>
      </c>
      <c r="D158" s="12">
        <v>15</v>
      </c>
      <c r="E158" s="12" t="s">
        <v>188</v>
      </c>
      <c r="F158" s="21" t="str">
        <f>_xlfn.DISPIMG("ID_DE1C58ADEF4A481695257F5E7BC15BC2",1)</f>
        <v>=DISPIMG("ID_DE1C58ADEF4A481695257F5E7BC15BC2",1)</v>
      </c>
      <c r="G158" s="13" t="s">
        <v>13</v>
      </c>
      <c r="H158" s="12" t="s">
        <v>114</v>
      </c>
      <c r="I158" s="12" t="s">
        <v>22</v>
      </c>
      <c r="J158" s="12" t="s">
        <v>51</v>
      </c>
      <c r="K158" s="11"/>
    </row>
    <row r="159" s="17" customFormat="1" customHeight="1" spans="1:11">
      <c r="A159" s="4">
        <v>161</v>
      </c>
      <c r="B159" s="4">
        <v>2025</v>
      </c>
      <c r="C159" s="12">
        <v>8</v>
      </c>
      <c r="D159" s="12">
        <v>18</v>
      </c>
      <c r="E159" s="12" t="s">
        <v>189</v>
      </c>
      <c r="F159" s="21" t="str">
        <f>_xlfn.DISPIMG("ID_6B5093B19A5947278B928C76BC49D190",1)</f>
        <v>=DISPIMG("ID_6B5093B19A5947278B928C76BC49D190",1)</v>
      </c>
      <c r="G159" s="13" t="s">
        <v>13</v>
      </c>
      <c r="H159" s="12" t="s">
        <v>26</v>
      </c>
      <c r="I159" s="12" t="s">
        <v>15</v>
      </c>
      <c r="J159" s="12" t="s">
        <v>107</v>
      </c>
      <c r="K159" s="11"/>
    </row>
    <row r="160" s="17" customFormat="1" customHeight="1" spans="1:11">
      <c r="A160" s="4">
        <v>162</v>
      </c>
      <c r="B160" s="4">
        <v>2025</v>
      </c>
      <c r="C160" s="12">
        <v>8</v>
      </c>
      <c r="D160" s="12">
        <v>18</v>
      </c>
      <c r="E160" s="12" t="s">
        <v>190</v>
      </c>
      <c r="F160" s="21" t="str">
        <f>_xlfn.DISPIMG("ID_2C6978E77ADE4DBE9E35F2E0BAE7CD25",1)</f>
        <v>=DISPIMG("ID_2C6978E77ADE4DBE9E35F2E0BAE7CD25",1)</v>
      </c>
      <c r="G160" s="13" t="s">
        <v>13</v>
      </c>
      <c r="H160" s="12" t="s">
        <v>26</v>
      </c>
      <c r="I160" s="12" t="s">
        <v>15</v>
      </c>
      <c r="J160" s="12" t="s">
        <v>107</v>
      </c>
      <c r="K160" s="11"/>
    </row>
    <row r="161" s="17" customFormat="1" customHeight="1" spans="1:11">
      <c r="A161" s="4">
        <v>163</v>
      </c>
      <c r="B161" s="4">
        <v>2025</v>
      </c>
      <c r="C161" s="12">
        <v>8</v>
      </c>
      <c r="D161" s="12">
        <v>20</v>
      </c>
      <c r="E161" s="12" t="s">
        <v>191</v>
      </c>
      <c r="F161" s="21" t="str">
        <f>_xlfn.DISPIMG("ID_C5C1624AD8B744F893A5C8F8E1B4C312",1)</f>
        <v>=DISPIMG("ID_C5C1624AD8B744F893A5C8F8E1B4C312",1)</v>
      </c>
      <c r="G161" s="13" t="s">
        <v>13</v>
      </c>
      <c r="H161" s="12" t="s">
        <v>26</v>
      </c>
      <c r="I161" s="12" t="s">
        <v>160</v>
      </c>
      <c r="J161" s="12" t="s">
        <v>132</v>
      </c>
      <c r="K161" s="11"/>
    </row>
    <row r="162" s="17" customFormat="1" customHeight="1" spans="1:11">
      <c r="A162" s="4">
        <v>164</v>
      </c>
      <c r="B162" s="4">
        <v>2025</v>
      </c>
      <c r="C162" s="12">
        <v>8</v>
      </c>
      <c r="D162" s="12">
        <v>20</v>
      </c>
      <c r="E162" s="12" t="s">
        <v>192</v>
      </c>
      <c r="F162" s="21" t="str">
        <f>_xlfn.DISPIMG("ID_13C93FDD716E4A4B9DC047CA3ECFA3E2",1)</f>
        <v>=DISPIMG("ID_13C93FDD716E4A4B9DC047CA3ECFA3E2",1)</v>
      </c>
      <c r="G162" s="13" t="s">
        <v>13</v>
      </c>
      <c r="H162" s="12" t="s">
        <v>26</v>
      </c>
      <c r="I162" s="12" t="s">
        <v>160</v>
      </c>
      <c r="J162" s="12" t="s">
        <v>132</v>
      </c>
      <c r="K162" s="11"/>
    </row>
    <row r="163" s="17" customFormat="1" customHeight="1" spans="1:11">
      <c r="A163" s="4">
        <v>165</v>
      </c>
      <c r="B163" s="4">
        <v>2025</v>
      </c>
      <c r="C163" s="12">
        <v>8</v>
      </c>
      <c r="D163" s="12">
        <v>21</v>
      </c>
      <c r="E163" s="12" t="s">
        <v>193</v>
      </c>
      <c r="F163" s="21" t="str">
        <f>_xlfn.DISPIMG("ID_34395685C0C746ADB8395B52BEAC7A0B",1)</f>
        <v>=DISPIMG("ID_34395685C0C746ADB8395B52BEAC7A0B",1)</v>
      </c>
      <c r="G163" s="13" t="s">
        <v>13</v>
      </c>
      <c r="H163" s="12" t="s">
        <v>26</v>
      </c>
      <c r="I163" s="12" t="s">
        <v>15</v>
      </c>
      <c r="J163" s="12" t="s">
        <v>107</v>
      </c>
      <c r="K163" s="11"/>
    </row>
    <row r="164" s="17" customFormat="1" customHeight="1" spans="1:11">
      <c r="A164" s="4">
        <v>166</v>
      </c>
      <c r="B164" s="4">
        <v>2025</v>
      </c>
      <c r="C164" s="12">
        <v>8</v>
      </c>
      <c r="D164" s="12">
        <v>23</v>
      </c>
      <c r="E164" s="12" t="s">
        <v>17</v>
      </c>
      <c r="F164" s="21" t="str">
        <f>_xlfn.DISPIMG("ID_8E60780787A64BDDAE18F5BBCCC2D19D",1)</f>
        <v>=DISPIMG("ID_8E60780787A64BDDAE18F5BBCCC2D19D",1)</v>
      </c>
      <c r="G164" s="13" t="s">
        <v>13</v>
      </c>
      <c r="H164" s="12" t="s">
        <v>14</v>
      </c>
      <c r="I164" s="12" t="s">
        <v>24</v>
      </c>
      <c r="J164" s="12" t="s">
        <v>111</v>
      </c>
      <c r="K164" s="11"/>
    </row>
    <row r="165" s="17" customFormat="1" customHeight="1" spans="1:11">
      <c r="A165" s="4">
        <v>167</v>
      </c>
      <c r="B165" s="4">
        <v>2025</v>
      </c>
      <c r="C165" s="12">
        <v>8</v>
      </c>
      <c r="D165" s="12">
        <v>25</v>
      </c>
      <c r="E165" s="12" t="s">
        <v>17</v>
      </c>
      <c r="F165" s="21" t="str">
        <f>_xlfn.DISPIMG("ID_8D92E21660B44FF6A813EFA28726C4CF",1)</f>
        <v>=DISPIMG("ID_8D92E21660B44FF6A813EFA28726C4CF",1)</v>
      </c>
      <c r="G165" s="13" t="s">
        <v>13</v>
      </c>
      <c r="H165" s="12" t="s">
        <v>14</v>
      </c>
      <c r="I165" s="12" t="s">
        <v>24</v>
      </c>
      <c r="J165" s="12" t="s">
        <v>194</v>
      </c>
      <c r="K165" s="11"/>
    </row>
    <row r="166" s="17" customFormat="1" customHeight="1" spans="1:11">
      <c r="A166" s="4">
        <v>168</v>
      </c>
      <c r="B166" s="4">
        <v>2025</v>
      </c>
      <c r="C166" s="12">
        <v>8</v>
      </c>
      <c r="D166" s="12">
        <v>27</v>
      </c>
      <c r="E166" s="12" t="s">
        <v>195</v>
      </c>
      <c r="F166" s="21" t="str">
        <f>_xlfn.DISPIMG("ID_27BC6ED1F141475F9B0862860D4080CD",1)</f>
        <v>=DISPIMG("ID_27BC6ED1F141475F9B0862860D4080CD",1)</v>
      </c>
      <c r="G166" s="13" t="s">
        <v>13</v>
      </c>
      <c r="H166" s="12" t="s">
        <v>114</v>
      </c>
      <c r="I166" s="12" t="s">
        <v>93</v>
      </c>
      <c r="J166" s="12" t="s">
        <v>196</v>
      </c>
      <c r="K166" s="11"/>
    </row>
    <row r="167" s="17" customFormat="1" customHeight="1" spans="1:11">
      <c r="A167" s="4">
        <v>169</v>
      </c>
      <c r="B167" s="4">
        <v>2025</v>
      </c>
      <c r="C167" s="12">
        <v>8</v>
      </c>
      <c r="D167" s="12">
        <v>27</v>
      </c>
      <c r="E167" s="12" t="s">
        <v>197</v>
      </c>
      <c r="F167" s="21" t="str">
        <f>_xlfn.DISPIMG("ID_817908B95F3D4D4199D5E68B6D9D1969",1)</f>
        <v>=DISPIMG("ID_817908B95F3D4D4199D5E68B6D9D1969",1)</v>
      </c>
      <c r="G167" s="13" t="s">
        <v>13</v>
      </c>
      <c r="H167" s="12" t="s">
        <v>14</v>
      </c>
      <c r="I167" s="12" t="s">
        <v>15</v>
      </c>
      <c r="J167" s="12" t="s">
        <v>198</v>
      </c>
      <c r="K167" s="11"/>
    </row>
    <row r="168" s="17" customFormat="1" customHeight="1" spans="1:11">
      <c r="A168" s="4">
        <v>170</v>
      </c>
      <c r="B168" s="4">
        <v>2025</v>
      </c>
      <c r="C168" s="12">
        <v>8</v>
      </c>
      <c r="D168" s="12">
        <v>27</v>
      </c>
      <c r="E168" s="12" t="s">
        <v>199</v>
      </c>
      <c r="F168" s="21" t="str">
        <f>_xlfn.DISPIMG("ID_653AC4B4CC3D44CE939CEE97191A9322",1)</f>
        <v>=DISPIMG("ID_653AC4B4CC3D44CE939CEE97191A9322",1)</v>
      </c>
      <c r="G168" s="13" t="s">
        <v>21</v>
      </c>
      <c r="H168" s="12" t="s">
        <v>14</v>
      </c>
      <c r="I168" s="12" t="s">
        <v>24</v>
      </c>
      <c r="J168" s="12" t="s">
        <v>200</v>
      </c>
      <c r="K168" s="11"/>
    </row>
    <row r="169" s="17" customFormat="1" customHeight="1" spans="1:11">
      <c r="A169" s="4">
        <v>171</v>
      </c>
      <c r="B169" s="4">
        <v>2025</v>
      </c>
      <c r="C169" s="12">
        <v>8</v>
      </c>
      <c r="D169" s="12">
        <v>27</v>
      </c>
      <c r="E169" s="12" t="s">
        <v>201</v>
      </c>
      <c r="F169" s="21" t="str">
        <f>_xlfn.DISPIMG("ID_30A9BF96EF16485BA6589401BC6B7A7B",1)</f>
        <v>=DISPIMG("ID_30A9BF96EF16485BA6589401BC6B7A7B",1)</v>
      </c>
      <c r="G169" s="13" t="s">
        <v>13</v>
      </c>
      <c r="H169" s="12" t="s">
        <v>14</v>
      </c>
      <c r="I169" s="12" t="s">
        <v>93</v>
      </c>
      <c r="J169" s="12" t="s">
        <v>202</v>
      </c>
      <c r="K169" s="11"/>
    </row>
    <row r="170" s="17" customFormat="1" customHeight="1" spans="1:11">
      <c r="A170" s="4">
        <v>172</v>
      </c>
      <c r="B170" s="4">
        <v>2025</v>
      </c>
      <c r="C170" s="4">
        <v>9</v>
      </c>
      <c r="D170" s="4">
        <v>2</v>
      </c>
      <c r="E170" s="12" t="s">
        <v>203</v>
      </c>
      <c r="F170" s="20" t="str">
        <f>_xlfn.DISPIMG("ID_2D42B2184E6D47BDBB5B5954F6729850",1)</f>
        <v>=DISPIMG("ID_2D42B2184E6D47BDBB5B5954F6729850",1)</v>
      </c>
      <c r="G170" s="13" t="s">
        <v>13</v>
      </c>
      <c r="H170" s="12" t="s">
        <v>14</v>
      </c>
      <c r="I170" s="12" t="s">
        <v>160</v>
      </c>
      <c r="J170" s="12" t="s">
        <v>204</v>
      </c>
      <c r="K170" s="11"/>
    </row>
    <row r="171" s="17" customFormat="1" customHeight="1" spans="1:11">
      <c r="A171" s="4">
        <v>173</v>
      </c>
      <c r="B171" s="4">
        <v>2025</v>
      </c>
      <c r="C171" s="12">
        <v>9</v>
      </c>
      <c r="D171" s="12">
        <v>4</v>
      </c>
      <c r="E171" s="12" t="s">
        <v>17</v>
      </c>
      <c r="F171" s="21" t="str">
        <f>_xlfn.DISPIMG("ID_36C4A0C07A7A4994BC71BD1B9652A8CD",1)</f>
        <v>=DISPIMG("ID_36C4A0C07A7A4994BC71BD1B9652A8CD",1)</v>
      </c>
      <c r="G171" s="13" t="s">
        <v>21</v>
      </c>
      <c r="H171" s="12" t="s">
        <v>114</v>
      </c>
      <c r="I171" s="12" t="s">
        <v>15</v>
      </c>
      <c r="J171" s="12" t="s">
        <v>111</v>
      </c>
      <c r="K171" s="11"/>
    </row>
    <row r="172" s="17" customFormat="1" customHeight="1" spans="1:11">
      <c r="A172" s="4">
        <v>174</v>
      </c>
      <c r="B172" s="4">
        <v>2025</v>
      </c>
      <c r="C172" s="12">
        <v>9</v>
      </c>
      <c r="D172" s="12">
        <v>10</v>
      </c>
      <c r="E172" s="12" t="s">
        <v>17</v>
      </c>
      <c r="F172" s="21" t="str">
        <f>_xlfn.DISPIMG("ID_C7E3151D8E884B7DBA9F59F2232B9B70",1)</f>
        <v>=DISPIMG("ID_C7E3151D8E884B7DBA9F59F2232B9B70",1)</v>
      </c>
      <c r="G172" s="13" t="s">
        <v>13</v>
      </c>
      <c r="H172" s="12" t="s">
        <v>26</v>
      </c>
      <c r="I172" s="12" t="s">
        <v>15</v>
      </c>
      <c r="J172" s="12" t="s">
        <v>204</v>
      </c>
      <c r="K172" s="11"/>
    </row>
    <row r="173" s="17" customFormat="1" customHeight="1" spans="1:11">
      <c r="A173" s="4">
        <v>175</v>
      </c>
      <c r="B173" s="4">
        <v>2025</v>
      </c>
      <c r="C173" s="12">
        <v>9</v>
      </c>
      <c r="D173" s="12">
        <v>11</v>
      </c>
      <c r="E173" s="12" t="s">
        <v>17</v>
      </c>
      <c r="F173" s="21" t="str">
        <f>_xlfn.DISPIMG("ID_63A3E64D1BF042E3A9A37EF2FDF0444D",1)</f>
        <v>=DISPIMG("ID_63A3E64D1BF042E3A9A37EF2FDF0444D",1)</v>
      </c>
      <c r="G173" s="13" t="s">
        <v>13</v>
      </c>
      <c r="H173" s="12" t="s">
        <v>26</v>
      </c>
      <c r="I173" s="12" t="s">
        <v>15</v>
      </c>
      <c r="J173" s="12" t="s">
        <v>204</v>
      </c>
      <c r="K173" s="11"/>
    </row>
    <row r="174" s="17" customFormat="1" customHeight="1" spans="1:11">
      <c r="A174" s="4">
        <v>176</v>
      </c>
      <c r="B174" s="4">
        <v>2025</v>
      </c>
      <c r="C174" s="12">
        <v>9</v>
      </c>
      <c r="D174" s="12">
        <v>11</v>
      </c>
      <c r="E174" s="12" t="s">
        <v>17</v>
      </c>
      <c r="F174" s="21" t="str">
        <f>_xlfn.DISPIMG("ID_7F08482EBB654413BCC3877D3DF075DC",1)</f>
        <v>=DISPIMG("ID_7F08482EBB654413BCC3877D3DF075DC",1)</v>
      </c>
      <c r="G174" s="13" t="s">
        <v>13</v>
      </c>
      <c r="H174" s="12" t="s">
        <v>26</v>
      </c>
      <c r="I174" s="12" t="s">
        <v>15</v>
      </c>
      <c r="J174" s="12" t="s">
        <v>204</v>
      </c>
      <c r="K174" s="11"/>
    </row>
    <row r="175" s="17" customFormat="1" customHeight="1" spans="1:11">
      <c r="A175" s="4">
        <v>177</v>
      </c>
      <c r="B175" s="4">
        <v>2025</v>
      </c>
      <c r="C175" s="12">
        <v>9</v>
      </c>
      <c r="D175" s="12">
        <v>11</v>
      </c>
      <c r="E175" s="12" t="s">
        <v>17</v>
      </c>
      <c r="F175" s="21" t="str">
        <f>_xlfn.DISPIMG("ID_99FA67CB81A942EDAFDB4BACEE71755D",1)</f>
        <v>=DISPIMG("ID_99FA67CB81A942EDAFDB4BACEE71755D",1)</v>
      </c>
      <c r="G175" s="13" t="s">
        <v>13</v>
      </c>
      <c r="H175" s="12" t="s">
        <v>26</v>
      </c>
      <c r="I175" s="12" t="s">
        <v>15</v>
      </c>
      <c r="J175" s="12" t="s">
        <v>204</v>
      </c>
      <c r="K175" s="11"/>
    </row>
    <row r="176" s="17" customFormat="1" customHeight="1" spans="1:11">
      <c r="A176" s="4">
        <v>178</v>
      </c>
      <c r="B176" s="4">
        <v>2025</v>
      </c>
      <c r="C176" s="12">
        <v>9</v>
      </c>
      <c r="D176" s="12">
        <v>12</v>
      </c>
      <c r="E176" s="12" t="s">
        <v>120</v>
      </c>
      <c r="F176" s="21" t="str">
        <f>_xlfn.DISPIMG("ID_19E7FD8F312942EFB26FFB706217B916",1)</f>
        <v>=DISPIMG("ID_19E7FD8F312942EFB26FFB706217B916",1)</v>
      </c>
      <c r="G176" s="13" t="s">
        <v>13</v>
      </c>
      <c r="H176" s="12" t="s">
        <v>26</v>
      </c>
      <c r="I176" s="12" t="s">
        <v>15</v>
      </c>
      <c r="J176" s="12" t="s">
        <v>16</v>
      </c>
      <c r="K176" s="11"/>
    </row>
    <row r="177" s="17" customFormat="1" customHeight="1" spans="1:11">
      <c r="A177" s="4">
        <v>179</v>
      </c>
      <c r="B177" s="4">
        <v>2025</v>
      </c>
      <c r="C177" s="12">
        <v>9</v>
      </c>
      <c r="D177" s="12">
        <v>16</v>
      </c>
      <c r="E177" s="12" t="s">
        <v>205</v>
      </c>
      <c r="F177" s="21" t="str">
        <f>_xlfn.DISPIMG("ID_18B99D903B5F4786914F34B51B4A093E",1)</f>
        <v>=DISPIMG("ID_18B99D903B5F4786914F34B51B4A093E",1)</v>
      </c>
      <c r="G177" s="13" t="s">
        <v>13</v>
      </c>
      <c r="H177" s="12" t="s">
        <v>26</v>
      </c>
      <c r="I177" s="12" t="s">
        <v>93</v>
      </c>
      <c r="J177" s="12" t="s">
        <v>111</v>
      </c>
      <c r="K177" s="11"/>
    </row>
    <row r="178" s="17" customFormat="1" customHeight="1" spans="1:11">
      <c r="A178" s="4">
        <v>180</v>
      </c>
      <c r="B178" s="4">
        <v>2025</v>
      </c>
      <c r="C178" s="12">
        <v>9</v>
      </c>
      <c r="D178" s="12">
        <v>20</v>
      </c>
      <c r="E178" s="12" t="s">
        <v>17</v>
      </c>
      <c r="F178" s="21" t="str">
        <f>_xlfn.DISPIMG("ID_9E5C767DABBD45CC942C3A2CEBD92B9F",1)</f>
        <v>=DISPIMG("ID_9E5C767DABBD45CC942C3A2CEBD92B9F",1)</v>
      </c>
      <c r="G178" s="13" t="s">
        <v>13</v>
      </c>
      <c r="H178" s="12" t="s">
        <v>26</v>
      </c>
      <c r="I178" s="12" t="s">
        <v>15</v>
      </c>
      <c r="J178" s="12" t="s">
        <v>206</v>
      </c>
      <c r="K178" s="11"/>
    </row>
    <row r="179" s="17" customFormat="1" customHeight="1" spans="1:11">
      <c r="A179" s="4">
        <v>181</v>
      </c>
      <c r="B179" s="4">
        <v>2025</v>
      </c>
      <c r="C179" s="12">
        <v>9</v>
      </c>
      <c r="D179" s="12">
        <v>24</v>
      </c>
      <c r="E179" s="12" t="s">
        <v>17</v>
      </c>
      <c r="F179" s="21" t="str">
        <f>_xlfn.DISPIMG("ID_C3B38F431526457D87C407CE58464DC4",1)</f>
        <v>=DISPIMG("ID_C3B38F431526457D87C407CE58464DC4",1)</v>
      </c>
      <c r="G179" s="13" t="s">
        <v>13</v>
      </c>
      <c r="H179" s="12" t="s">
        <v>26</v>
      </c>
      <c r="I179" s="12" t="s">
        <v>15</v>
      </c>
      <c r="J179" s="12" t="s">
        <v>111</v>
      </c>
      <c r="K179" s="11"/>
    </row>
    <row r="180" s="17" customFormat="1" customHeight="1" spans="1:11">
      <c r="A180" s="4">
        <v>182</v>
      </c>
      <c r="B180" s="4">
        <v>2025</v>
      </c>
      <c r="C180" s="12">
        <v>9</v>
      </c>
      <c r="D180" s="12">
        <v>24</v>
      </c>
      <c r="E180" s="12" t="s">
        <v>207</v>
      </c>
      <c r="F180" s="21" t="str">
        <f>_xlfn.DISPIMG("ID_BEFE92143EDD4032A6D7496DDB1CCC04",1)</f>
        <v>=DISPIMG("ID_BEFE92143EDD4032A6D7496DDB1CCC04",1)</v>
      </c>
      <c r="G180" s="13" t="s">
        <v>13</v>
      </c>
      <c r="H180" s="12" t="s">
        <v>26</v>
      </c>
      <c r="I180" s="12" t="s">
        <v>160</v>
      </c>
      <c r="J180" s="12" t="s">
        <v>208</v>
      </c>
      <c r="K180" s="11"/>
    </row>
    <row r="181" s="17" customFormat="1" customHeight="1" spans="1:11">
      <c r="A181" s="4">
        <v>183</v>
      </c>
      <c r="B181" s="4">
        <v>2025</v>
      </c>
      <c r="C181" s="12">
        <v>9</v>
      </c>
      <c r="D181" s="12">
        <v>28</v>
      </c>
      <c r="E181" s="12" t="s">
        <v>209</v>
      </c>
      <c r="F181" s="21" t="str">
        <f>_xlfn.DISPIMG("ID_AFCD2329A89F42BF98425033A0613DB3",1)</f>
        <v>=DISPIMG("ID_AFCD2329A89F42BF98425033A0613DB3",1)</v>
      </c>
      <c r="G181" s="13" t="s">
        <v>13</v>
      </c>
      <c r="H181" s="12" t="s">
        <v>26</v>
      </c>
      <c r="I181" s="12" t="s">
        <v>15</v>
      </c>
      <c r="J181" s="12" t="s">
        <v>107</v>
      </c>
      <c r="K181" s="11"/>
    </row>
    <row r="182" s="17" customFormat="1" customHeight="1" spans="1:11">
      <c r="A182" s="4">
        <v>184</v>
      </c>
      <c r="B182" s="4">
        <v>2025</v>
      </c>
      <c r="C182" s="12">
        <v>9</v>
      </c>
      <c r="D182" s="12">
        <v>29</v>
      </c>
      <c r="E182" s="12" t="s">
        <v>210</v>
      </c>
      <c r="F182" s="21" t="str">
        <f>_xlfn.DISPIMG("ID_D276111B92E84FADAD3531D2730D1EDD",1)</f>
        <v>=DISPIMG("ID_D276111B92E84FADAD3531D2730D1EDD",1)</v>
      </c>
      <c r="G182" s="13" t="s">
        <v>13</v>
      </c>
      <c r="H182" s="12" t="s">
        <v>14</v>
      </c>
      <c r="I182" s="12" t="s">
        <v>22</v>
      </c>
      <c r="J182" s="12" t="s">
        <v>65</v>
      </c>
      <c r="K182" s="11"/>
    </row>
    <row r="183" s="17" customFormat="1" customHeight="1" spans="1:11">
      <c r="A183" s="4">
        <v>185</v>
      </c>
      <c r="B183" s="4">
        <v>2025</v>
      </c>
      <c r="C183" s="12">
        <v>9</v>
      </c>
      <c r="D183" s="12">
        <v>29</v>
      </c>
      <c r="E183" s="12" t="s">
        <v>17</v>
      </c>
      <c r="F183" s="21" t="str">
        <f>_xlfn.DISPIMG("ID_251C247F2E7845E5A4A6DABFC65888DB",1)</f>
        <v>=DISPIMG("ID_251C247F2E7845E5A4A6DABFC65888DB",1)</v>
      </c>
      <c r="G183" s="13" t="s">
        <v>13</v>
      </c>
      <c r="H183" s="12" t="s">
        <v>26</v>
      </c>
      <c r="I183" s="12" t="s">
        <v>15</v>
      </c>
      <c r="J183" s="12" t="s">
        <v>211</v>
      </c>
      <c r="K183" s="11"/>
    </row>
    <row r="184" s="17" customFormat="1" customHeight="1" spans="1:11">
      <c r="A184" s="4">
        <v>186</v>
      </c>
      <c r="B184" s="4">
        <v>2025</v>
      </c>
      <c r="C184" s="12">
        <v>9</v>
      </c>
      <c r="D184" s="12">
        <v>30</v>
      </c>
      <c r="E184" s="12" t="s">
        <v>17</v>
      </c>
      <c r="F184" s="15" t="str">
        <f>_xlfn.DISPIMG("ID_53C4FE4019294C6785AEAEFE355538DA",1)</f>
        <v>=DISPIMG("ID_53C4FE4019294C6785AEAEFE355538DA",1)</v>
      </c>
      <c r="G184" s="13" t="s">
        <v>13</v>
      </c>
      <c r="H184" s="12" t="s">
        <v>14</v>
      </c>
      <c r="I184" s="12" t="s">
        <v>22</v>
      </c>
      <c r="J184" s="12" t="s">
        <v>212</v>
      </c>
      <c r="K184" s="11"/>
    </row>
    <row r="185" s="17" customFormat="1" customHeight="1" spans="1:11">
      <c r="A185" s="4">
        <v>187</v>
      </c>
      <c r="B185" s="4">
        <v>2025</v>
      </c>
      <c r="C185" s="4">
        <v>10</v>
      </c>
      <c r="D185" s="4">
        <v>1</v>
      </c>
      <c r="E185" s="13" t="s">
        <v>213</v>
      </c>
      <c r="F185" s="22" t="str">
        <f>_xlfn.DISPIMG("ID_24CDB9196EF64860BD79482328A2243A",1)</f>
        <v>=DISPIMG("ID_24CDB9196EF64860BD79482328A2243A",1)</v>
      </c>
      <c r="G185" s="13" t="s">
        <v>13</v>
      </c>
      <c r="H185" s="12" t="s">
        <v>26</v>
      </c>
      <c r="I185" s="12" t="s">
        <v>93</v>
      </c>
      <c r="J185" s="13" t="s">
        <v>214</v>
      </c>
      <c r="K185" s="11"/>
    </row>
    <row r="186" s="17" customFormat="1" customHeight="1" spans="1:11">
      <c r="A186" s="4">
        <v>188</v>
      </c>
      <c r="B186" s="4">
        <v>2025</v>
      </c>
      <c r="C186" s="4">
        <v>10</v>
      </c>
      <c r="D186" s="4">
        <v>1</v>
      </c>
      <c r="E186" s="12" t="s">
        <v>17</v>
      </c>
      <c r="F186" s="20" t="str">
        <f>_xlfn.DISPIMG("ID_849420D5BBD24A3B9AFDD1DC220E23C1",1)</f>
        <v>=DISPIMG("ID_849420D5BBD24A3B9AFDD1DC220E23C1",1)</v>
      </c>
      <c r="G186" s="13" t="s">
        <v>13</v>
      </c>
      <c r="H186" s="12" t="s">
        <v>26</v>
      </c>
      <c r="I186" s="12" t="s">
        <v>93</v>
      </c>
      <c r="J186" s="12" t="s">
        <v>215</v>
      </c>
      <c r="K186" s="11"/>
    </row>
    <row r="187" s="17" customFormat="1" customHeight="1" spans="1:11">
      <c r="A187" s="4">
        <v>189</v>
      </c>
      <c r="B187" s="4">
        <v>2025</v>
      </c>
      <c r="C187" s="12">
        <v>10</v>
      </c>
      <c r="D187" s="12">
        <v>4</v>
      </c>
      <c r="E187" s="12" t="s">
        <v>216</v>
      </c>
      <c r="F187" s="21" t="str">
        <f>_xlfn.DISPIMG("ID_7287344125564F998D3B3CE790BBCCED",1)</f>
        <v>=DISPIMG("ID_7287344125564F998D3B3CE790BBCCED",1)</v>
      </c>
      <c r="G187" s="13" t="s">
        <v>13</v>
      </c>
      <c r="H187" s="12" t="s">
        <v>14</v>
      </c>
      <c r="I187" s="12" t="s">
        <v>24</v>
      </c>
      <c r="J187" s="12" t="s">
        <v>16</v>
      </c>
      <c r="K187" s="11"/>
    </row>
    <row r="188" s="17" customFormat="1" customHeight="1" spans="1:11">
      <c r="A188" s="4">
        <v>190</v>
      </c>
      <c r="B188" s="4">
        <v>2025</v>
      </c>
      <c r="C188" s="12">
        <v>10</v>
      </c>
      <c r="D188" s="12">
        <v>4</v>
      </c>
      <c r="E188" s="12" t="s">
        <v>217</v>
      </c>
      <c r="F188" s="21" t="str">
        <f>_xlfn.DISPIMG("ID_E95A9A8BF8334692BA46E449563A362A",1)</f>
        <v>=DISPIMG("ID_E95A9A8BF8334692BA46E449563A362A",1)</v>
      </c>
      <c r="G188" s="13" t="s">
        <v>13</v>
      </c>
      <c r="H188" s="12" t="s">
        <v>26</v>
      </c>
      <c r="I188" s="12" t="s">
        <v>93</v>
      </c>
      <c r="J188" s="12" t="s">
        <v>196</v>
      </c>
      <c r="K188" s="11"/>
    </row>
    <row r="189" s="17" customFormat="1" customHeight="1" spans="1:11">
      <c r="A189" s="4">
        <v>191</v>
      </c>
      <c r="B189" s="4">
        <v>2025</v>
      </c>
      <c r="C189" s="12">
        <v>10</v>
      </c>
      <c r="D189" s="12">
        <v>5</v>
      </c>
      <c r="E189" s="12" t="s">
        <v>218</v>
      </c>
      <c r="F189" s="21" t="str">
        <f>_xlfn.DISPIMG("ID_C786DD02A53C443B85E23C8AFEB99B01",1)</f>
        <v>=DISPIMG("ID_C786DD02A53C443B85E23C8AFEB99B01",1)</v>
      </c>
      <c r="G189" s="13" t="s">
        <v>13</v>
      </c>
      <c r="H189" s="12" t="s">
        <v>14</v>
      </c>
      <c r="I189" s="12" t="s">
        <v>19</v>
      </c>
      <c r="J189" s="12" t="s">
        <v>20</v>
      </c>
      <c r="K189" s="11"/>
    </row>
    <row r="190" s="17" customFormat="1" customHeight="1" spans="1:11">
      <c r="A190" s="4">
        <v>192</v>
      </c>
      <c r="B190" s="4">
        <v>2025</v>
      </c>
      <c r="C190" s="12">
        <v>10</v>
      </c>
      <c r="D190" s="12">
        <v>6</v>
      </c>
      <c r="E190" s="12" t="s">
        <v>219</v>
      </c>
      <c r="F190" s="21" t="str">
        <f>_xlfn.DISPIMG("ID_54EC79B910274DDF81ACA6BEA10BC0C8",1)</f>
        <v>=DISPIMG("ID_54EC79B910274DDF81ACA6BEA10BC0C8",1)</v>
      </c>
      <c r="G190" s="13" t="s">
        <v>13</v>
      </c>
      <c r="H190" s="12" t="s">
        <v>26</v>
      </c>
      <c r="I190" s="12" t="s">
        <v>15</v>
      </c>
      <c r="J190" s="12" t="s">
        <v>58</v>
      </c>
      <c r="K190" s="11"/>
    </row>
    <row r="191" s="17" customFormat="1" customHeight="1" spans="1:11">
      <c r="A191" s="4">
        <v>193</v>
      </c>
      <c r="B191" s="4">
        <v>2025</v>
      </c>
      <c r="C191" s="12">
        <v>10</v>
      </c>
      <c r="D191" s="12">
        <v>10</v>
      </c>
      <c r="E191" s="12" t="s">
        <v>220</v>
      </c>
      <c r="F191" s="21" t="str">
        <f>_xlfn.DISPIMG("ID_7BDC1A59CC7C41ACAB27CC680A756BF8",1)</f>
        <v>=DISPIMG("ID_7BDC1A59CC7C41ACAB27CC680A756BF8",1)</v>
      </c>
      <c r="G191" s="13" t="s">
        <v>13</v>
      </c>
      <c r="H191" s="12" t="s">
        <v>14</v>
      </c>
      <c r="I191" s="12" t="s">
        <v>22</v>
      </c>
      <c r="J191" s="12" t="s">
        <v>221</v>
      </c>
      <c r="K191" s="11"/>
    </row>
    <row r="192" s="17" customFormat="1" customHeight="1" spans="1:11">
      <c r="A192" s="4">
        <v>194</v>
      </c>
      <c r="B192" s="4">
        <v>2025</v>
      </c>
      <c r="C192" s="12">
        <v>10</v>
      </c>
      <c r="D192" s="12">
        <v>15</v>
      </c>
      <c r="E192" s="12" t="s">
        <v>222</v>
      </c>
      <c r="F192" s="21" t="str">
        <f>_xlfn.DISPIMG("ID_DDD9CA22FF2B423F9448CD420799D0FC",1)</f>
        <v>=DISPIMG("ID_DDD9CA22FF2B423F9448CD420799D0FC",1)</v>
      </c>
      <c r="G192" s="13" t="s">
        <v>13</v>
      </c>
      <c r="H192" s="12" t="s">
        <v>14</v>
      </c>
      <c r="I192" s="12" t="s">
        <v>19</v>
      </c>
      <c r="J192" s="12" t="s">
        <v>20</v>
      </c>
      <c r="K192" s="11"/>
    </row>
    <row r="193" s="17" customFormat="1" customHeight="1" spans="1:11">
      <c r="A193" s="4">
        <v>195</v>
      </c>
      <c r="B193" s="4">
        <v>2025</v>
      </c>
      <c r="C193" s="12">
        <v>10</v>
      </c>
      <c r="D193" s="12">
        <v>16</v>
      </c>
      <c r="E193" s="12" t="s">
        <v>223</v>
      </c>
      <c r="F193" s="21" t="str">
        <f>_xlfn.DISPIMG("ID_742E92CE6A554F178E0596192D311F63",1)</f>
        <v>=DISPIMG("ID_742E92CE6A554F178E0596192D311F63",1)</v>
      </c>
      <c r="G193" s="13" t="s">
        <v>13</v>
      </c>
      <c r="H193" s="12" t="s">
        <v>14</v>
      </c>
      <c r="I193" s="12" t="s">
        <v>24</v>
      </c>
      <c r="J193" s="12" t="s">
        <v>224</v>
      </c>
      <c r="K193" s="11"/>
    </row>
    <row r="194" s="17" customFormat="1" customHeight="1" spans="1:11">
      <c r="A194" s="4">
        <v>196</v>
      </c>
      <c r="B194" s="4">
        <v>2025</v>
      </c>
      <c r="C194" s="12">
        <v>10</v>
      </c>
      <c r="D194" s="12">
        <v>17</v>
      </c>
      <c r="E194" s="12" t="s">
        <v>225</v>
      </c>
      <c r="F194" s="21" t="str">
        <f>_xlfn.DISPIMG("ID_80D442F63F2843A5AC38F86D004F2D9B",1)</f>
        <v>=DISPIMG("ID_80D442F63F2843A5AC38F86D004F2D9B",1)</v>
      </c>
      <c r="G194" s="13" t="s">
        <v>13</v>
      </c>
      <c r="H194" s="12" t="s">
        <v>14</v>
      </c>
      <c r="I194" s="12" t="s">
        <v>24</v>
      </c>
      <c r="J194" s="13" t="s">
        <v>226</v>
      </c>
      <c r="K194" s="11"/>
    </row>
    <row r="195" s="17" customFormat="1" customHeight="1" spans="1:11">
      <c r="A195" s="4">
        <v>197</v>
      </c>
      <c r="B195" s="4">
        <v>2025</v>
      </c>
      <c r="C195" s="12">
        <v>10</v>
      </c>
      <c r="D195" s="12">
        <v>19</v>
      </c>
      <c r="E195" s="12" t="s">
        <v>227</v>
      </c>
      <c r="F195" s="21" t="str">
        <f>_xlfn.DISPIMG("ID_07FBEC6406634886B3F80EB8C7B452EE",1)</f>
        <v>=DISPIMG("ID_07FBEC6406634886B3F80EB8C7B452EE",1)</v>
      </c>
      <c r="G195" s="13" t="s">
        <v>13</v>
      </c>
      <c r="H195" s="12" t="s">
        <v>26</v>
      </c>
      <c r="I195" s="12" t="s">
        <v>15</v>
      </c>
      <c r="J195" s="12" t="s">
        <v>224</v>
      </c>
      <c r="K195" s="11"/>
    </row>
    <row r="196" s="17" customFormat="1" customHeight="1" spans="1:11">
      <c r="A196" s="4">
        <v>198</v>
      </c>
      <c r="B196" s="4">
        <v>2025</v>
      </c>
      <c r="C196" s="12">
        <v>10</v>
      </c>
      <c r="D196" s="12">
        <v>23</v>
      </c>
      <c r="E196" s="12" t="s">
        <v>228</v>
      </c>
      <c r="F196" s="21" t="str">
        <f>_xlfn.DISPIMG("ID_44889AA2AC8045839EE656CC02B7BACE",1)</f>
        <v>=DISPIMG("ID_44889AA2AC8045839EE656CC02B7BACE",1)</v>
      </c>
      <c r="G196" s="13" t="s">
        <v>13</v>
      </c>
      <c r="H196" s="12" t="s">
        <v>14</v>
      </c>
      <c r="I196" s="12" t="s">
        <v>22</v>
      </c>
      <c r="J196" s="12" t="s">
        <v>229</v>
      </c>
      <c r="K196" s="11"/>
    </row>
    <row r="197" s="17" customFormat="1" customHeight="1" spans="1:11">
      <c r="A197" s="4">
        <v>200</v>
      </c>
      <c r="B197" s="4">
        <v>2025</v>
      </c>
      <c r="C197" s="12">
        <v>10</v>
      </c>
      <c r="D197" s="12">
        <v>30</v>
      </c>
      <c r="E197" s="12" t="s">
        <v>230</v>
      </c>
      <c r="F197" s="21" t="str">
        <f>_xlfn.DISPIMG("ID_3E6DC3B2F2D1469484CC5917D41C499C",1)</f>
        <v>=DISPIMG("ID_3E6DC3B2F2D1469484CC5917D41C499C",1)</v>
      </c>
      <c r="G197" s="13" t="s">
        <v>13</v>
      </c>
      <c r="H197" s="12" t="s">
        <v>14</v>
      </c>
      <c r="I197" s="12" t="s">
        <v>19</v>
      </c>
      <c r="J197" s="12" t="s">
        <v>231</v>
      </c>
      <c r="K197" s="11"/>
    </row>
    <row r="198" s="17" customFormat="1" customHeight="1" spans="1:11">
      <c r="A198" s="4">
        <v>201</v>
      </c>
      <c r="B198" s="4">
        <v>2025</v>
      </c>
      <c r="C198" s="4">
        <v>10</v>
      </c>
      <c r="D198" s="4">
        <v>31</v>
      </c>
      <c r="E198" s="4" t="s">
        <v>17</v>
      </c>
      <c r="F198" s="23" t="str">
        <f>_xlfn.DISPIMG("ID_C3C8270E43904A82BFEC9102E73C3C38",1)</f>
        <v>=DISPIMG("ID_C3C8270E43904A82BFEC9102E73C3C38",1)</v>
      </c>
      <c r="G198" s="13" t="s">
        <v>13</v>
      </c>
      <c r="H198" s="4" t="s">
        <v>26</v>
      </c>
      <c r="I198" s="12" t="s">
        <v>15</v>
      </c>
      <c r="J198" s="4" t="s">
        <v>232</v>
      </c>
      <c r="K198" s="11"/>
    </row>
    <row r="199" customHeight="1" spans="1:11">
      <c r="A199" s="4">
        <v>202</v>
      </c>
      <c r="B199" s="4"/>
      <c r="C199" s="4"/>
      <c r="D199" s="4"/>
      <c r="E199" s="4" t="s">
        <v>233</v>
      </c>
      <c r="F199" s="23" t="str">
        <f>_xlfn.DISPIMG("ID_C310D2A9B0EF4AB08E92B087358433AB",1)</f>
        <v>=DISPIMG("ID_C310D2A9B0EF4AB08E92B087358433AB",1)</v>
      </c>
      <c r="G199" s="13" t="s">
        <v>13</v>
      </c>
      <c r="H199" s="4" t="s">
        <v>114</v>
      </c>
      <c r="I199" s="12" t="s">
        <v>234</v>
      </c>
      <c r="J199" s="4" t="s">
        <v>109</v>
      </c>
      <c r="K199" s="11" t="s">
        <v>235</v>
      </c>
    </row>
    <row r="200" customHeight="1" spans="1:11">
      <c r="A200" s="4">
        <v>203</v>
      </c>
      <c r="B200" s="4"/>
      <c r="C200" s="4"/>
      <c r="D200" s="4"/>
      <c r="E200" s="4" t="s">
        <v>17</v>
      </c>
      <c r="F200" s="23" t="str">
        <f>_xlfn.DISPIMG("ID_53E858ED4119460BA4FE5B18B337A356",1)</f>
        <v>=DISPIMG("ID_53E858ED4119460BA4FE5B18B337A356",1)</v>
      </c>
      <c r="G200" s="13" t="s">
        <v>13</v>
      </c>
      <c r="H200" s="4" t="s">
        <v>114</v>
      </c>
      <c r="I200" s="12" t="s">
        <v>234</v>
      </c>
      <c r="J200" s="4" t="s">
        <v>109</v>
      </c>
      <c r="K200" s="11" t="s">
        <v>235</v>
      </c>
    </row>
    <row r="201" customHeight="1" spans="1:11">
      <c r="A201" s="4">
        <v>204</v>
      </c>
      <c r="B201" s="4"/>
      <c r="C201" s="4"/>
      <c r="D201" s="4"/>
      <c r="E201" s="4" t="s">
        <v>17</v>
      </c>
      <c r="F201" s="23" t="str">
        <f>_xlfn.DISPIMG("ID_6A0EE7D78B144BEEA2C5AC45606E19B1",1)</f>
        <v>=DISPIMG("ID_6A0EE7D78B144BEEA2C5AC45606E19B1",1)</v>
      </c>
      <c r="G201" s="13" t="s">
        <v>13</v>
      </c>
      <c r="H201" s="4" t="s">
        <v>114</v>
      </c>
      <c r="I201" s="12" t="s">
        <v>234</v>
      </c>
      <c r="J201" s="4" t="s">
        <v>109</v>
      </c>
      <c r="K201" s="11" t="s">
        <v>235</v>
      </c>
    </row>
    <row r="202" customHeight="1" spans="1:11">
      <c r="A202" s="4">
        <v>205</v>
      </c>
      <c r="B202" s="4"/>
      <c r="C202" s="4"/>
      <c r="D202" s="4"/>
      <c r="E202" s="4" t="s">
        <v>17</v>
      </c>
      <c r="F202" s="23" t="str">
        <f>_xlfn.DISPIMG("ID_7FE11E5249E441489A4BE3864AFF7C63",1)</f>
        <v>=DISPIMG("ID_7FE11E5249E441489A4BE3864AFF7C63",1)</v>
      </c>
      <c r="G202" s="13" t="s">
        <v>13</v>
      </c>
      <c r="H202" s="4" t="s">
        <v>114</v>
      </c>
      <c r="I202" s="12" t="s">
        <v>234</v>
      </c>
      <c r="J202" s="4" t="s">
        <v>109</v>
      </c>
      <c r="K202" s="11" t="s">
        <v>235</v>
      </c>
    </row>
    <row r="203" customHeight="1" spans="1:11">
      <c r="A203" s="4">
        <v>206</v>
      </c>
      <c r="B203" s="4"/>
      <c r="C203" s="4"/>
      <c r="D203" s="4"/>
      <c r="E203" s="4" t="s">
        <v>17</v>
      </c>
      <c r="F203" s="23" t="str">
        <f>_xlfn.DISPIMG("ID_EDE79B8667414EAAACCFD21F9ACFC103",1)</f>
        <v>=DISPIMG("ID_EDE79B8667414EAAACCFD21F9ACFC103",1)</v>
      </c>
      <c r="G203" s="13" t="s">
        <v>13</v>
      </c>
      <c r="H203" s="4" t="s">
        <v>114</v>
      </c>
      <c r="I203" s="12" t="s">
        <v>234</v>
      </c>
      <c r="J203" s="4" t="s">
        <v>109</v>
      </c>
      <c r="K203" s="11" t="s">
        <v>235</v>
      </c>
    </row>
    <row r="204" customHeight="1" spans="1:11">
      <c r="A204" s="4">
        <v>207</v>
      </c>
      <c r="B204" s="4"/>
      <c r="C204" s="4"/>
      <c r="D204" s="4"/>
      <c r="E204" s="4" t="s">
        <v>17</v>
      </c>
      <c r="F204" s="23" t="str">
        <f>_xlfn.DISPIMG("ID_D7175429E8A94F9AB848A38AAF5384F5",1)</f>
        <v>=DISPIMG("ID_D7175429E8A94F9AB848A38AAF5384F5",1)</v>
      </c>
      <c r="G204" s="13" t="s">
        <v>13</v>
      </c>
      <c r="H204" s="4" t="s">
        <v>114</v>
      </c>
      <c r="I204" s="12" t="s">
        <v>234</v>
      </c>
      <c r="J204" s="4" t="s">
        <v>109</v>
      </c>
      <c r="K204" s="11" t="s">
        <v>235</v>
      </c>
    </row>
    <row r="205" customHeight="1" spans="1:11">
      <c r="A205" s="4">
        <v>208</v>
      </c>
      <c r="B205" s="4"/>
      <c r="C205" s="4"/>
      <c r="D205" s="4"/>
      <c r="E205" s="4" t="s">
        <v>17</v>
      </c>
      <c r="F205" s="23" t="str">
        <f>_xlfn.DISPIMG("ID_C2B6B4AD3FF0486A91A8DF16EEF9C69E",1)</f>
        <v>=DISPIMG("ID_C2B6B4AD3FF0486A91A8DF16EEF9C69E",1)</v>
      </c>
      <c r="G205" s="13" t="s">
        <v>13</v>
      </c>
      <c r="H205" s="4" t="s">
        <v>114</v>
      </c>
      <c r="I205" s="12" t="s">
        <v>236</v>
      </c>
      <c r="J205" s="4" t="s">
        <v>54</v>
      </c>
      <c r="K205" s="11" t="s">
        <v>235</v>
      </c>
    </row>
    <row r="206" customHeight="1" spans="1:11">
      <c r="A206" s="4">
        <v>209</v>
      </c>
      <c r="B206" s="4"/>
      <c r="C206" s="4"/>
      <c r="D206" s="4"/>
      <c r="E206" s="4" t="s">
        <v>17</v>
      </c>
      <c r="F206" s="23" t="str">
        <f>_xlfn.DISPIMG("ID_509EE27F540C4C7A80AF5FAADB4C0542",1)</f>
        <v>=DISPIMG("ID_509EE27F540C4C7A80AF5FAADB4C0542",1)</v>
      </c>
      <c r="G206" s="13" t="s">
        <v>13</v>
      </c>
      <c r="H206" s="4" t="s">
        <v>114</v>
      </c>
      <c r="I206" s="12" t="s">
        <v>236</v>
      </c>
      <c r="J206" s="4" t="s">
        <v>54</v>
      </c>
      <c r="K206" s="11" t="s">
        <v>235</v>
      </c>
    </row>
    <row r="207" customHeight="1" spans="1:11">
      <c r="A207" s="4">
        <v>210</v>
      </c>
      <c r="B207" s="4"/>
      <c r="C207" s="4"/>
      <c r="D207" s="4"/>
      <c r="E207" s="4" t="s">
        <v>17</v>
      </c>
      <c r="F207" s="23" t="str">
        <f>_xlfn.DISPIMG("ID_57AD4CE59F9346F8B5CBBC2E3C8621DB",1)</f>
        <v>=DISPIMG("ID_57AD4CE59F9346F8B5CBBC2E3C8621DB",1)</v>
      </c>
      <c r="G207" s="13" t="s">
        <v>13</v>
      </c>
      <c r="H207" s="4" t="s">
        <v>114</v>
      </c>
      <c r="I207" s="12" t="s">
        <v>236</v>
      </c>
      <c r="J207" s="4" t="s">
        <v>54</v>
      </c>
      <c r="K207" s="11" t="s">
        <v>235</v>
      </c>
    </row>
    <row r="208" customHeight="1" spans="1:11">
      <c r="A208" s="4">
        <v>211</v>
      </c>
      <c r="B208" s="4"/>
      <c r="C208" s="4"/>
      <c r="D208" s="4"/>
      <c r="E208" s="4" t="s">
        <v>17</v>
      </c>
      <c r="F208" s="23" t="str">
        <f>_xlfn.DISPIMG("ID_DB298199D72443C5811601A9A80A2707",1)</f>
        <v>=DISPIMG("ID_DB298199D72443C5811601A9A80A2707",1)</v>
      </c>
      <c r="G208" s="13" t="s">
        <v>13</v>
      </c>
      <c r="H208" s="4" t="s">
        <v>114</v>
      </c>
      <c r="I208" s="12" t="s">
        <v>237</v>
      </c>
      <c r="J208" s="4" t="s">
        <v>229</v>
      </c>
      <c r="K208" s="11" t="s">
        <v>235</v>
      </c>
    </row>
    <row r="209" customHeight="1" spans="1:11">
      <c r="A209" s="4">
        <v>212</v>
      </c>
      <c r="B209" s="4"/>
      <c r="C209" s="4"/>
      <c r="D209" s="4"/>
      <c r="E209" s="4" t="s">
        <v>17</v>
      </c>
      <c r="F209" s="23" t="str">
        <f>_xlfn.DISPIMG("ID_635B636A0D3F4A1B89C15E087298A47F",1)</f>
        <v>=DISPIMG("ID_635B636A0D3F4A1B89C15E087298A47F",1)</v>
      </c>
      <c r="G209" s="13" t="s">
        <v>13</v>
      </c>
      <c r="H209" s="4" t="s">
        <v>114</v>
      </c>
      <c r="I209" s="12" t="s">
        <v>237</v>
      </c>
      <c r="J209" s="4" t="s">
        <v>229</v>
      </c>
      <c r="K209" s="11" t="s">
        <v>235</v>
      </c>
    </row>
    <row r="210" customHeight="1" spans="1:11">
      <c r="A210" s="4">
        <v>213</v>
      </c>
      <c r="B210" s="4"/>
      <c r="C210" s="4"/>
      <c r="D210" s="4"/>
      <c r="E210" s="4" t="s">
        <v>238</v>
      </c>
      <c r="F210" s="23" t="str">
        <f>_xlfn.DISPIMG("ID_C535F85E79CE46F6B6A969D86F2FEE99",1)</f>
        <v>=DISPIMG("ID_C535F85E79CE46F6B6A969D86F2FEE99",1)</v>
      </c>
      <c r="G210" s="13" t="s">
        <v>13</v>
      </c>
      <c r="H210" s="4" t="s">
        <v>114</v>
      </c>
      <c r="I210" s="12" t="s">
        <v>239</v>
      </c>
      <c r="J210" s="4" t="s">
        <v>240</v>
      </c>
      <c r="K210" s="11" t="s">
        <v>235</v>
      </c>
    </row>
    <row r="211" customHeight="1" spans="1:11">
      <c r="A211" s="4">
        <v>214</v>
      </c>
      <c r="B211" s="4"/>
      <c r="C211" s="4"/>
      <c r="D211" s="4"/>
      <c r="E211" s="4" t="s">
        <v>241</v>
      </c>
      <c r="F211" s="23" t="str">
        <f>_xlfn.DISPIMG("ID_395CD4733BFE413F87E67C6CE0010CBC",1)</f>
        <v>=DISPIMG("ID_395CD4733BFE413F87E67C6CE0010CBC",1)</v>
      </c>
      <c r="G211" s="13" t="s">
        <v>13</v>
      </c>
      <c r="H211" s="4" t="s">
        <v>114</v>
      </c>
      <c r="I211" s="12" t="s">
        <v>239</v>
      </c>
      <c r="J211" s="4" t="s">
        <v>240</v>
      </c>
      <c r="K211" s="11" t="s">
        <v>235</v>
      </c>
    </row>
    <row r="212" customHeight="1" spans="1:11">
      <c r="A212" s="4">
        <v>215</v>
      </c>
      <c r="B212" s="4"/>
      <c r="C212" s="4"/>
      <c r="D212" s="4"/>
      <c r="E212" s="4" t="s">
        <v>17</v>
      </c>
      <c r="F212" s="23" t="str">
        <f>_xlfn.DISPIMG("ID_87884DD38F6946AA8914D54FDAE06BB8",1)</f>
        <v>=DISPIMG("ID_87884DD38F6946AA8914D54FDAE06BB8",1)</v>
      </c>
      <c r="G212" s="13" t="s">
        <v>13</v>
      </c>
      <c r="H212" s="4" t="s">
        <v>114</v>
      </c>
      <c r="I212" s="12" t="s">
        <v>239</v>
      </c>
      <c r="J212" s="4" t="s">
        <v>240</v>
      </c>
      <c r="K212" s="11" t="s">
        <v>235</v>
      </c>
    </row>
    <row r="213" customHeight="1" spans="1:11">
      <c r="A213" s="4">
        <v>216</v>
      </c>
      <c r="B213" s="4"/>
      <c r="C213" s="4"/>
      <c r="D213" s="4"/>
      <c r="E213" s="4" t="s">
        <v>17</v>
      </c>
      <c r="F213" s="23" t="str">
        <f>_xlfn.DISPIMG("ID_9B5E8C505CC74BD78BF416BD0D314D3A",1)</f>
        <v>=DISPIMG("ID_9B5E8C505CC74BD78BF416BD0D314D3A",1)</v>
      </c>
      <c r="G213" s="13" t="s">
        <v>13</v>
      </c>
      <c r="H213" s="4" t="s">
        <v>114</v>
      </c>
      <c r="I213" s="12" t="s">
        <v>239</v>
      </c>
      <c r="J213" s="4" t="s">
        <v>240</v>
      </c>
      <c r="K213" s="11" t="s">
        <v>235</v>
      </c>
    </row>
    <row r="214" customHeight="1" spans="1:11">
      <c r="A214" s="4">
        <v>217</v>
      </c>
      <c r="B214" s="4"/>
      <c r="C214" s="4"/>
      <c r="D214" s="4"/>
      <c r="E214" s="4" t="s">
        <v>17</v>
      </c>
      <c r="F214" s="23" t="str">
        <f>_xlfn.DISPIMG("ID_89F75CC009AA4F2A9C337936806365AA",1)</f>
        <v>=DISPIMG("ID_89F75CC009AA4F2A9C337936806365AA",1)</v>
      </c>
      <c r="G214" s="13" t="s">
        <v>13</v>
      </c>
      <c r="H214" s="4" t="s">
        <v>114</v>
      </c>
      <c r="I214" s="12" t="s">
        <v>239</v>
      </c>
      <c r="J214" s="4" t="s">
        <v>240</v>
      </c>
      <c r="K214" s="11" t="s">
        <v>235</v>
      </c>
    </row>
    <row r="215" customHeight="1" spans="1:11">
      <c r="A215" s="4">
        <v>218</v>
      </c>
      <c r="B215" s="4"/>
      <c r="C215" s="4"/>
      <c r="D215" s="4"/>
      <c r="E215" s="4" t="s">
        <v>17</v>
      </c>
      <c r="F215" s="23" t="str">
        <f>_xlfn.DISPIMG("ID_5F64ED70457643D0894563CA6E4C010A",1)</f>
        <v>=DISPIMG("ID_5F64ED70457643D0894563CA6E4C010A",1)</v>
      </c>
      <c r="G215" s="13" t="s">
        <v>13</v>
      </c>
      <c r="H215" s="4" t="s">
        <v>114</v>
      </c>
      <c r="I215" s="12" t="s">
        <v>239</v>
      </c>
      <c r="J215" s="4" t="s">
        <v>240</v>
      </c>
      <c r="K215" s="11" t="s">
        <v>235</v>
      </c>
    </row>
    <row r="216" customHeight="1" spans="1:11">
      <c r="A216" s="4">
        <v>219</v>
      </c>
      <c r="B216" s="4"/>
      <c r="C216" s="4"/>
      <c r="D216" s="4"/>
      <c r="E216" s="4" t="s">
        <v>17</v>
      </c>
      <c r="F216" s="23" t="str">
        <f>_xlfn.DISPIMG("ID_E1A00A0080A14C639BF8EF5FED600A39",1)</f>
        <v>=DISPIMG("ID_E1A00A0080A14C639BF8EF5FED600A39",1)</v>
      </c>
      <c r="G216" s="13" t="s">
        <v>13</v>
      </c>
      <c r="H216" s="4" t="s">
        <v>114</v>
      </c>
      <c r="I216" s="12" t="s">
        <v>239</v>
      </c>
      <c r="J216" s="4" t="s">
        <v>240</v>
      </c>
      <c r="K216" s="11" t="s">
        <v>235</v>
      </c>
    </row>
    <row r="217" customHeight="1" spans="1:11">
      <c r="A217" s="4">
        <v>220</v>
      </c>
      <c r="B217" s="4"/>
      <c r="C217" s="4"/>
      <c r="D217" s="4"/>
      <c r="E217" s="4" t="s">
        <v>242</v>
      </c>
      <c r="F217" s="23" t="str">
        <f>_xlfn.DISPIMG("ID_23029965E7C646F0A42E1FC967959F7A",1)</f>
        <v>=DISPIMG("ID_23029965E7C646F0A42E1FC967959F7A",1)</v>
      </c>
      <c r="G217" s="13" t="s">
        <v>13</v>
      </c>
      <c r="H217" s="4" t="s">
        <v>114</v>
      </c>
      <c r="I217" s="12" t="s">
        <v>239</v>
      </c>
      <c r="J217" s="4" t="s">
        <v>240</v>
      </c>
      <c r="K217" s="11" t="s">
        <v>235</v>
      </c>
    </row>
    <row r="218" customHeight="1" spans="1:11">
      <c r="A218" s="4">
        <v>221</v>
      </c>
      <c r="B218" s="4"/>
      <c r="C218" s="4"/>
      <c r="D218" s="4"/>
      <c r="E218" s="4" t="s">
        <v>17</v>
      </c>
      <c r="F218" s="23" t="str">
        <f>_xlfn.DISPIMG("ID_C6DEFCE528D544EEB3F993771D949202",1)</f>
        <v>=DISPIMG("ID_C6DEFCE528D544EEB3F993771D949202",1)</v>
      </c>
      <c r="G218" s="13" t="s">
        <v>13</v>
      </c>
      <c r="H218" s="4" t="s">
        <v>114</v>
      </c>
      <c r="I218" s="12" t="s">
        <v>239</v>
      </c>
      <c r="J218" s="4" t="s">
        <v>240</v>
      </c>
      <c r="K218" s="11" t="s">
        <v>235</v>
      </c>
    </row>
    <row r="219" customHeight="1" spans="1:11">
      <c r="A219" s="4">
        <v>222</v>
      </c>
      <c r="B219" s="4"/>
      <c r="C219" s="4"/>
      <c r="D219" s="4"/>
      <c r="E219" s="4" t="s">
        <v>17</v>
      </c>
      <c r="F219" s="23" t="str">
        <f>_xlfn.DISPIMG("ID_F80DC201DB5A47F2A95AFA4B0CCA6371",1)</f>
        <v>=DISPIMG("ID_F80DC201DB5A47F2A95AFA4B0CCA6371",1)</v>
      </c>
      <c r="G219" s="13" t="s">
        <v>13</v>
      </c>
      <c r="H219" s="4" t="s">
        <v>114</v>
      </c>
      <c r="I219" s="12" t="s">
        <v>239</v>
      </c>
      <c r="J219" s="4" t="s">
        <v>240</v>
      </c>
      <c r="K219" s="11" t="s">
        <v>235</v>
      </c>
    </row>
    <row r="220" customHeight="1" spans="1:11">
      <c r="A220" s="4">
        <v>223</v>
      </c>
      <c r="B220" s="4"/>
      <c r="C220" s="4"/>
      <c r="D220" s="4"/>
      <c r="E220" s="4" t="s">
        <v>243</v>
      </c>
      <c r="F220" s="23" t="str">
        <f>_xlfn.DISPIMG("ID_A898C120A79944429227E14D67B355DC",1)</f>
        <v>=DISPIMG("ID_A898C120A79944429227E14D67B355DC",1)</v>
      </c>
      <c r="G220" s="13" t="s">
        <v>13</v>
      </c>
      <c r="H220" s="4" t="s">
        <v>114</v>
      </c>
      <c r="I220" s="12" t="s">
        <v>244</v>
      </c>
      <c r="J220" s="4" t="s">
        <v>245</v>
      </c>
      <c r="K220" s="11" t="s">
        <v>235</v>
      </c>
    </row>
    <row r="221" customHeight="1" spans="1:11">
      <c r="A221" s="4">
        <v>224</v>
      </c>
      <c r="B221" s="4"/>
      <c r="C221" s="4"/>
      <c r="D221" s="4"/>
      <c r="E221" s="4" t="s">
        <v>17</v>
      </c>
      <c r="F221" s="23" t="str">
        <f>_xlfn.DISPIMG("ID_151365FDC8F341EAAC84D5FF519E9808",1)</f>
        <v>=DISPIMG("ID_151365FDC8F341EAAC84D5FF519E9808",1)</v>
      </c>
      <c r="G221" s="13" t="s">
        <v>13</v>
      </c>
      <c r="H221" s="4" t="s">
        <v>114</v>
      </c>
      <c r="I221" s="12" t="s">
        <v>244</v>
      </c>
      <c r="J221" s="4" t="s">
        <v>245</v>
      </c>
      <c r="K221" s="11" t="s">
        <v>235</v>
      </c>
    </row>
    <row r="222" customHeight="1" spans="1:11">
      <c r="A222" s="4">
        <v>225</v>
      </c>
      <c r="B222" s="4"/>
      <c r="C222" s="4"/>
      <c r="D222" s="4"/>
      <c r="E222" s="4" t="s">
        <v>17</v>
      </c>
      <c r="F222" s="23" t="str">
        <f>_xlfn.DISPIMG("ID_92BE980783A0422F81FF5964D5F16143",1)</f>
        <v>=DISPIMG("ID_92BE980783A0422F81FF5964D5F16143",1)</v>
      </c>
      <c r="G222" s="13" t="s">
        <v>13</v>
      </c>
      <c r="H222" s="4" t="s">
        <v>114</v>
      </c>
      <c r="I222" s="12" t="s">
        <v>244</v>
      </c>
      <c r="J222" s="4" t="s">
        <v>245</v>
      </c>
      <c r="K222" s="11" t="s">
        <v>235</v>
      </c>
    </row>
    <row r="223" customHeight="1" spans="1:11">
      <c r="A223" s="4">
        <v>226</v>
      </c>
      <c r="B223" s="4"/>
      <c r="C223" s="4"/>
      <c r="D223" s="4"/>
      <c r="E223" s="4" t="s">
        <v>17</v>
      </c>
      <c r="F223" s="23" t="str">
        <f>_xlfn.DISPIMG("ID_5809B6B1BD8E4855A467350602733634",1)</f>
        <v>=DISPIMG("ID_5809B6B1BD8E4855A467350602733634",1)</v>
      </c>
      <c r="G223" s="13" t="s">
        <v>13</v>
      </c>
      <c r="H223" s="4" t="s">
        <v>114</v>
      </c>
      <c r="I223" s="12" t="s">
        <v>244</v>
      </c>
      <c r="J223" s="4" t="s">
        <v>245</v>
      </c>
      <c r="K223" s="11" t="s">
        <v>235</v>
      </c>
    </row>
    <row r="224" customHeight="1" spans="1:11">
      <c r="A224" s="4">
        <v>227</v>
      </c>
      <c r="B224" s="4">
        <v>2024</v>
      </c>
      <c r="C224" s="4">
        <v>8</v>
      </c>
      <c r="D224" s="4">
        <v>1</v>
      </c>
      <c r="E224" s="4" t="s">
        <v>17</v>
      </c>
      <c r="F224" s="23" t="str">
        <f>_xlfn.DISPIMG("ID_9D8BABAEB4194501A3E8AC6037ACCD60",1)</f>
        <v>=DISPIMG("ID_9D8BABAEB4194501A3E8AC6037ACCD60",1)</v>
      </c>
      <c r="G224" s="13" t="s">
        <v>13</v>
      </c>
      <c r="H224" s="4" t="s">
        <v>114</v>
      </c>
      <c r="I224" s="12" t="s">
        <v>246</v>
      </c>
      <c r="J224" s="4" t="s">
        <v>247</v>
      </c>
      <c r="K224" s="11"/>
    </row>
    <row r="225" customHeight="1" spans="1:11">
      <c r="A225" s="4">
        <v>228</v>
      </c>
      <c r="B225" s="4">
        <v>2021</v>
      </c>
      <c r="C225" s="4">
        <v>1</v>
      </c>
      <c r="D225" s="4">
        <v>1</v>
      </c>
      <c r="E225" s="4" t="s">
        <v>248</v>
      </c>
      <c r="F225" s="23" t="str">
        <f>_xlfn.DISPIMG("ID_CCDD1961CAD346259CD6D635F282BAAC",1)</f>
        <v>=DISPIMG("ID_CCDD1961CAD346259CD6D635F282BAAC",1)</v>
      </c>
      <c r="G225" s="13" t="s">
        <v>13</v>
      </c>
      <c r="H225" s="4" t="s">
        <v>114</v>
      </c>
      <c r="I225" s="12" t="s">
        <v>246</v>
      </c>
      <c r="J225" s="4" t="s">
        <v>247</v>
      </c>
      <c r="K225" s="11"/>
    </row>
    <row r="226" customHeight="1" spans="1:11">
      <c r="A226" s="4">
        <v>229</v>
      </c>
      <c r="B226" s="4"/>
      <c r="C226" s="4"/>
      <c r="D226" s="4"/>
      <c r="E226" s="4" t="s">
        <v>249</v>
      </c>
      <c r="F226" s="23" t="str">
        <f>_xlfn.DISPIMG("ID_D89331359564411B8F8E1F3BDC34F0CB",1)</f>
        <v>=DISPIMG("ID_D89331359564411B8F8E1F3BDC34F0CB",1)</v>
      </c>
      <c r="G226" s="13" t="s">
        <v>13</v>
      </c>
      <c r="H226" s="4" t="s">
        <v>114</v>
      </c>
      <c r="I226" s="12" t="s">
        <v>250</v>
      </c>
      <c r="J226" s="4" t="s">
        <v>251</v>
      </c>
      <c r="K226" s="11" t="s">
        <v>235</v>
      </c>
    </row>
    <row r="227" customHeight="1" spans="1:11">
      <c r="A227" s="4">
        <v>230</v>
      </c>
      <c r="B227" s="4"/>
      <c r="C227" s="4"/>
      <c r="D227" s="4"/>
      <c r="E227" s="4" t="s">
        <v>252</v>
      </c>
      <c r="F227" s="23" t="str">
        <f>_xlfn.DISPIMG("ID_4EA30F0F547D4EBC9A573463B1709D45",1)</f>
        <v>=DISPIMG("ID_4EA30F0F547D4EBC9A573463B1709D45",1)</v>
      </c>
      <c r="G227" s="13" t="s">
        <v>13</v>
      </c>
      <c r="H227" s="4" t="s">
        <v>114</v>
      </c>
      <c r="I227" s="12" t="s">
        <v>250</v>
      </c>
      <c r="J227" s="4" t="s">
        <v>251</v>
      </c>
      <c r="K227" s="11" t="s">
        <v>235</v>
      </c>
    </row>
    <row r="228" customHeight="1" spans="1:11">
      <c r="A228" s="4">
        <v>231</v>
      </c>
      <c r="B228" s="4">
        <v>2019</v>
      </c>
      <c r="C228" s="4">
        <v>6</v>
      </c>
      <c r="D228" s="4">
        <v>11</v>
      </c>
      <c r="E228" s="4" t="s">
        <v>17</v>
      </c>
      <c r="F228" s="23" t="str">
        <f>_xlfn.DISPIMG("ID_1B006EF85C634B5D978FA7CB1C507CC5",1)</f>
        <v>=DISPIMG("ID_1B006EF85C634B5D978FA7CB1C507CC5",1)</v>
      </c>
      <c r="G228" s="13" t="s">
        <v>13</v>
      </c>
      <c r="H228" s="4" t="s">
        <v>114</v>
      </c>
      <c r="I228" s="12" t="s">
        <v>253</v>
      </c>
      <c r="J228" s="4" t="s">
        <v>254</v>
      </c>
      <c r="K228" s="11"/>
    </row>
    <row r="229" customHeight="1" spans="1:11">
      <c r="A229" s="4">
        <v>232</v>
      </c>
      <c r="B229" s="4">
        <v>2021</v>
      </c>
      <c r="C229" s="4">
        <v>2</v>
      </c>
      <c r="D229" s="4">
        <v>2</v>
      </c>
      <c r="E229" s="4" t="s">
        <v>255</v>
      </c>
      <c r="F229" s="23" t="str">
        <f>_xlfn.DISPIMG("ID_D6D77D440FCE4F22BFC564F9D0D188BE",1)</f>
        <v>=DISPIMG("ID_D6D77D440FCE4F22BFC564F9D0D188BE",1)</v>
      </c>
      <c r="G229" s="13" t="s">
        <v>13</v>
      </c>
      <c r="H229" s="4" t="s">
        <v>114</v>
      </c>
      <c r="I229" s="12" t="s">
        <v>253</v>
      </c>
      <c r="J229" s="4" t="s">
        <v>254</v>
      </c>
      <c r="K229" s="11"/>
    </row>
    <row r="230" customHeight="1" spans="1:11">
      <c r="A230" s="4">
        <v>233</v>
      </c>
      <c r="B230" s="4">
        <v>2019</v>
      </c>
      <c r="C230" s="4">
        <v>8</v>
      </c>
      <c r="D230" s="4">
        <v>15</v>
      </c>
      <c r="E230" s="4" t="s">
        <v>17</v>
      </c>
      <c r="F230" s="23" t="str">
        <f>_xlfn.DISPIMG("ID_631E7FFAB5FC495D897CA6E43888D7B4",1)</f>
        <v>=DISPIMG("ID_631E7FFAB5FC495D897CA6E43888D7B4",1)</v>
      </c>
      <c r="G230" s="13" t="s">
        <v>13</v>
      </c>
      <c r="H230" s="4" t="s">
        <v>114</v>
      </c>
      <c r="I230" s="12" t="s">
        <v>253</v>
      </c>
      <c r="J230" s="4" t="s">
        <v>254</v>
      </c>
      <c r="K230" s="11"/>
    </row>
    <row r="231" customHeight="1" spans="1:11">
      <c r="A231" s="4">
        <v>234</v>
      </c>
      <c r="B231" s="4">
        <v>2019</v>
      </c>
      <c r="C231" s="4">
        <v>9</v>
      </c>
      <c r="D231" s="4">
        <v>3</v>
      </c>
      <c r="E231" s="4" t="s">
        <v>17</v>
      </c>
      <c r="F231" s="23" t="str">
        <f>_xlfn.DISPIMG("ID_F4EAAD32B5DE4207A5FCD558B348848B",1)</f>
        <v>=DISPIMG("ID_F4EAAD32B5DE4207A5FCD558B348848B",1)</v>
      </c>
      <c r="G231" s="13" t="s">
        <v>13</v>
      </c>
      <c r="H231" s="4" t="s">
        <v>114</v>
      </c>
      <c r="I231" s="12" t="s">
        <v>253</v>
      </c>
      <c r="J231" s="4" t="s">
        <v>254</v>
      </c>
      <c r="K231" s="11"/>
    </row>
    <row r="232" customHeight="1" spans="1:11">
      <c r="A232" s="4">
        <v>235</v>
      </c>
      <c r="B232" s="4">
        <v>2021</v>
      </c>
      <c r="C232" s="4">
        <v>2</v>
      </c>
      <c r="D232" s="4">
        <v>7</v>
      </c>
      <c r="E232" s="4" t="s">
        <v>17</v>
      </c>
      <c r="F232" s="23" t="str">
        <f>_xlfn.DISPIMG("ID_8E730921843F47BDBBF3E110AF367DA9",1)</f>
        <v>=DISPIMG("ID_8E730921843F47BDBBF3E110AF367DA9",1)</v>
      </c>
      <c r="G232" s="13" t="s">
        <v>13</v>
      </c>
      <c r="H232" s="4" t="s">
        <v>114</v>
      </c>
      <c r="I232" s="12" t="s">
        <v>253</v>
      </c>
      <c r="J232" s="4" t="s">
        <v>254</v>
      </c>
      <c r="K232" s="11"/>
    </row>
    <row r="233" customHeight="1" spans="1:11">
      <c r="A233" s="4">
        <v>236</v>
      </c>
      <c r="B233" s="4">
        <v>2019</v>
      </c>
      <c r="C233" s="4">
        <v>11</v>
      </c>
      <c r="D233" s="4">
        <v>8</v>
      </c>
      <c r="E233" s="4" t="s">
        <v>256</v>
      </c>
      <c r="F233" s="23" t="str">
        <f>_xlfn.DISPIMG("ID_87855C76CE2E4AD6ABBED9D8A8C8A548",1)</f>
        <v>=DISPIMG("ID_87855C76CE2E4AD6ABBED9D8A8C8A548",1)</v>
      </c>
      <c r="G233" s="13" t="s">
        <v>13</v>
      </c>
      <c r="H233" s="4" t="s">
        <v>114</v>
      </c>
      <c r="I233" s="12" t="s">
        <v>253</v>
      </c>
      <c r="J233" s="4" t="s">
        <v>254</v>
      </c>
      <c r="K233" s="11"/>
    </row>
    <row r="234" customHeight="1" spans="1:11">
      <c r="A234" s="4">
        <v>237</v>
      </c>
      <c r="B234" s="4">
        <v>2021</v>
      </c>
      <c r="C234" s="4">
        <v>2</v>
      </c>
      <c r="D234" s="4">
        <v>26</v>
      </c>
      <c r="E234" s="4" t="s">
        <v>257</v>
      </c>
      <c r="F234" s="23" t="str">
        <f>_xlfn.DISPIMG("ID_0E3D02AC31914FE9872EC42B18322EDB",1)</f>
        <v>=DISPIMG("ID_0E3D02AC31914FE9872EC42B18322EDB",1)</v>
      </c>
      <c r="G234" s="13" t="s">
        <v>13</v>
      </c>
      <c r="H234" s="4" t="s">
        <v>114</v>
      </c>
      <c r="I234" s="12" t="s">
        <v>253</v>
      </c>
      <c r="J234" s="4" t="s">
        <v>254</v>
      </c>
      <c r="K234" s="11"/>
    </row>
    <row r="235" customHeight="1" spans="1:11">
      <c r="A235" s="4">
        <v>238</v>
      </c>
      <c r="B235" s="4">
        <v>2023</v>
      </c>
      <c r="C235" s="4">
        <v>9</v>
      </c>
      <c r="D235" s="4">
        <v>25</v>
      </c>
      <c r="E235" s="4" t="s">
        <v>258</v>
      </c>
      <c r="F235" s="23" t="str">
        <f>_xlfn.DISPIMG("ID_EF2EE08467FA45F0BE93745A72DE7EF4",1)</f>
        <v>=DISPIMG("ID_EF2EE08467FA45F0BE93745A72DE7EF4",1)</v>
      </c>
      <c r="G235" s="13" t="s">
        <v>13</v>
      </c>
      <c r="H235" s="4" t="s">
        <v>114</v>
      </c>
      <c r="I235" s="12" t="s">
        <v>253</v>
      </c>
      <c r="J235" s="4" t="s">
        <v>254</v>
      </c>
      <c r="K235" s="11"/>
    </row>
    <row r="236" customHeight="1" spans="1:11">
      <c r="A236" s="4">
        <v>239</v>
      </c>
      <c r="B236" s="4">
        <v>2019</v>
      </c>
      <c r="C236" s="4">
        <v>12</v>
      </c>
      <c r="D236" s="4">
        <v>5</v>
      </c>
      <c r="E236" s="4" t="s">
        <v>17</v>
      </c>
      <c r="F236" s="23" t="str">
        <f>_xlfn.DISPIMG("ID_FA8A4E10F02E4300AF1C97311D3B538D",1)</f>
        <v>=DISPIMG("ID_FA8A4E10F02E4300AF1C97311D3B538D",1)</v>
      </c>
      <c r="G236" s="13" t="s">
        <v>13</v>
      </c>
      <c r="H236" s="4" t="s">
        <v>114</v>
      </c>
      <c r="I236" s="12" t="s">
        <v>253</v>
      </c>
      <c r="J236" s="4" t="s">
        <v>254</v>
      </c>
      <c r="K236" s="11"/>
    </row>
    <row r="237" customHeight="1" spans="1:11">
      <c r="A237" s="4">
        <v>240</v>
      </c>
      <c r="B237" s="4"/>
      <c r="C237" s="4"/>
      <c r="D237" s="4"/>
      <c r="E237" s="4" t="s">
        <v>17</v>
      </c>
      <c r="F237" s="23" t="str">
        <f>_xlfn.DISPIMG("ID_DDE69380197B46B49EF703D6CB3779FB",1)</f>
        <v>=DISPIMG("ID_DDE69380197B46B49EF703D6CB3779FB",1)</v>
      </c>
      <c r="G237" s="13" t="s">
        <v>13</v>
      </c>
      <c r="H237" s="4" t="s">
        <v>114</v>
      </c>
      <c r="I237" s="12" t="s">
        <v>259</v>
      </c>
      <c r="J237" s="4" t="s">
        <v>66</v>
      </c>
      <c r="K237" s="11" t="s">
        <v>235</v>
      </c>
    </row>
    <row r="238" customHeight="1" spans="1:11">
      <c r="A238" s="4">
        <v>241</v>
      </c>
      <c r="B238" s="4"/>
      <c r="C238" s="4"/>
      <c r="D238" s="4"/>
      <c r="E238" s="4" t="s">
        <v>17</v>
      </c>
      <c r="F238" s="23" t="str">
        <f>_xlfn.DISPIMG("ID_40BBC6E2F02947AB8F7C8280C2ABA8C8",1)</f>
        <v>=DISPIMG("ID_40BBC6E2F02947AB8F7C8280C2ABA8C8",1)</v>
      </c>
      <c r="G238" s="13" t="s">
        <v>13</v>
      </c>
      <c r="H238" s="4" t="s">
        <v>114</v>
      </c>
      <c r="I238" s="12" t="s">
        <v>259</v>
      </c>
      <c r="J238" s="4" t="s">
        <v>66</v>
      </c>
      <c r="K238" s="11" t="s">
        <v>235</v>
      </c>
    </row>
  </sheetData>
  <mergeCells count="1">
    <mergeCell ref="A1:K1"/>
  </mergeCells>
  <dataValidations count="5">
    <dataValidation type="list" allowBlank="1" showInputMessage="1" showErrorMessage="1" sqref="C3 C51 C8:C24 C53:C68 C71:C82 C94:C107 C116:C127 C142:C146 C159:C170 C177:C186 C192:C198">
      <formula1>"1,2,3,4,5,6,7,8,9,10,11,12"</formula1>
    </dataValidation>
    <dataValidation type="list" allowBlank="1" showInputMessage="1" showErrorMessage="1" sqref="D3 D8:D51 D53:D68 D71:D82 D94:D107 D116:D127 D142:D146 D159:D170 D177:D186 D192:D198">
      <formula1>"1,2,3,4,5,6,7,8,9,10,11,12,13,14,15,16,17,18,19,20,21,22,23,24,25,26,27,28,29,30,31"</formula1>
    </dataValidation>
    <dataValidation type="list" allowBlank="1" showInputMessage="1" showErrorMessage="1" sqref="C25:C50">
      <formula1>"2"</formula1>
    </dataValidation>
    <dataValidation allowBlank="1" showInputMessage="1" showErrorMessage="1" sqref="G2:G238 I2:I238"/>
    <dataValidation type="list" allowBlank="1" showInputMessage="1" showErrorMessage="1" sqref="H3:H127 H130:H238">
      <formula1>"高速路,报废车,事故车,违法车,涉案车,刑警队,派出所"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topLeftCell="C79" workbookViewId="0">
      <selection activeCell="C83" sqref="$A83:$XFD1048576"/>
    </sheetView>
  </sheetViews>
  <sheetFormatPr defaultColWidth="9" defaultRowHeight="57" customHeight="1"/>
  <cols>
    <col min="1" max="2" width="5.50833333333333" customWidth="1"/>
    <col min="3" max="3" width="5.25" customWidth="1"/>
    <col min="4" max="4" width="4" customWidth="1"/>
    <col min="5" max="5" width="14.875" customWidth="1"/>
    <col min="6" max="6" width="13.125" customWidth="1"/>
    <col min="7" max="7" width="11.625" customWidth="1"/>
    <col min="8" max="8" width="10.125" customWidth="1"/>
    <col min="9" max="9" width="13" style="5" customWidth="1"/>
    <col min="10" max="10" width="16.625" customWidth="1"/>
    <col min="11" max="11" width="12.75" customWidth="1"/>
  </cols>
  <sheetData>
    <row r="1" customHeight="1" spans="1:11">
      <c r="A1" s="6" t="s">
        <v>260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7" t="s">
        <v>7</v>
      </c>
      <c r="H2" s="7" t="s">
        <v>8</v>
      </c>
      <c r="I2" s="7" t="s">
        <v>9</v>
      </c>
      <c r="J2" s="11" t="s">
        <v>10</v>
      </c>
      <c r="K2" s="11" t="s">
        <v>11</v>
      </c>
    </row>
    <row r="3" customHeight="1" spans="1:11">
      <c r="A3" s="4">
        <v>1</v>
      </c>
      <c r="B3" s="4">
        <v>2025</v>
      </c>
      <c r="C3" s="4">
        <v>1</v>
      </c>
      <c r="D3" s="4">
        <v>3</v>
      </c>
      <c r="E3" s="12" t="s">
        <v>261</v>
      </c>
      <c r="F3" s="12" t="str">
        <f>_xlfn.DISPIMG("ID_CD17A9BC97A240BAA9ABEA2CB98C3CDE",1)</f>
        <v>=DISPIMG("ID_CD17A9BC97A240BAA9ABEA2CB98C3CDE",1)</v>
      </c>
      <c r="G3" s="13" t="s">
        <v>262</v>
      </c>
      <c r="H3" s="12" t="s">
        <v>14</v>
      </c>
      <c r="I3" s="12" t="s">
        <v>15</v>
      </c>
      <c r="J3" s="14" t="s">
        <v>263</v>
      </c>
      <c r="K3" s="15"/>
    </row>
    <row r="4" customHeight="1" spans="1:11">
      <c r="A4" s="4">
        <v>2</v>
      </c>
      <c r="B4" s="4">
        <v>2025</v>
      </c>
      <c r="C4" s="4">
        <v>1</v>
      </c>
      <c r="D4" s="4">
        <v>3</v>
      </c>
      <c r="E4" s="12" t="s">
        <v>264</v>
      </c>
      <c r="F4" s="12" t="str">
        <f>_xlfn.DISPIMG("ID_F225314FB58849E69B1487DD4243D981",1)</f>
        <v>=DISPIMG("ID_F225314FB58849E69B1487DD4243D981",1)</v>
      </c>
      <c r="G4" s="13" t="s">
        <v>262</v>
      </c>
      <c r="H4" s="12" t="s">
        <v>14</v>
      </c>
      <c r="I4" s="12" t="s">
        <v>15</v>
      </c>
      <c r="J4" s="12" t="s">
        <v>16</v>
      </c>
      <c r="K4" s="15"/>
    </row>
    <row r="5" customHeight="1" spans="1:11">
      <c r="A5" s="4">
        <v>3</v>
      </c>
      <c r="B5" s="4">
        <v>2025</v>
      </c>
      <c r="C5" s="12">
        <v>1</v>
      </c>
      <c r="D5" s="12">
        <v>11</v>
      </c>
      <c r="E5" s="12" t="s">
        <v>265</v>
      </c>
      <c r="F5" s="16" t="str">
        <f>_xlfn.DISPIMG("ID_759AF8E20B23463B9A2A58AD90430E64",1)</f>
        <v>=DISPIMG("ID_759AF8E20B23463B9A2A58AD90430E64",1)</v>
      </c>
      <c r="G5" s="13" t="s">
        <v>262</v>
      </c>
      <c r="H5" s="12" t="s">
        <v>14</v>
      </c>
      <c r="I5" s="12" t="s">
        <v>24</v>
      </c>
      <c r="J5" s="12" t="s">
        <v>266</v>
      </c>
      <c r="K5" s="15"/>
    </row>
    <row r="6" customHeight="1" spans="1:11">
      <c r="A6" s="4">
        <v>4</v>
      </c>
      <c r="B6" s="4">
        <v>2025</v>
      </c>
      <c r="C6" s="12">
        <v>1</v>
      </c>
      <c r="D6" s="12">
        <v>12</v>
      </c>
      <c r="E6" s="12" t="s">
        <v>17</v>
      </c>
      <c r="F6" s="16" t="str">
        <f>_xlfn.DISPIMG("ID_DAF5DCB53B204F81B8278D23F0CD4B5F",1)</f>
        <v>=DISPIMG("ID_DAF5DCB53B204F81B8278D23F0CD4B5F",1)</v>
      </c>
      <c r="G6" s="13" t="s">
        <v>267</v>
      </c>
      <c r="H6" s="12" t="s">
        <v>14</v>
      </c>
      <c r="I6" s="12" t="s">
        <v>24</v>
      </c>
      <c r="J6" s="12" t="s">
        <v>268</v>
      </c>
      <c r="K6" s="15"/>
    </row>
    <row r="7" customHeight="1" spans="1:11">
      <c r="A7" s="4">
        <v>5</v>
      </c>
      <c r="B7" s="4">
        <v>2025</v>
      </c>
      <c r="C7" s="12">
        <v>1</v>
      </c>
      <c r="D7" s="12">
        <v>14</v>
      </c>
      <c r="E7" s="12" t="s">
        <v>269</v>
      </c>
      <c r="F7" s="16" t="str">
        <f>_xlfn.DISPIMG("ID_3843DCC8FB6045C4A84FDA2624B21342",1)</f>
        <v>=DISPIMG("ID_3843DCC8FB6045C4A84FDA2624B21342",1)</v>
      </c>
      <c r="G7" s="13" t="s">
        <v>262</v>
      </c>
      <c r="H7" s="12" t="s">
        <v>14</v>
      </c>
      <c r="I7" s="12" t="s">
        <v>24</v>
      </c>
      <c r="J7" s="12" t="s">
        <v>270</v>
      </c>
      <c r="K7" s="15"/>
    </row>
    <row r="8" customHeight="1" spans="1:11">
      <c r="A8" s="4">
        <v>6</v>
      </c>
      <c r="B8" s="4">
        <v>2025</v>
      </c>
      <c r="C8" s="12">
        <v>1</v>
      </c>
      <c r="D8" s="12">
        <v>15</v>
      </c>
      <c r="E8" s="12" t="s">
        <v>271</v>
      </c>
      <c r="F8" s="16" t="str">
        <f>_xlfn.DISPIMG("ID_7F81FCF0872C4E71B5F1D29FAE6FD7D5",1)</f>
        <v>=DISPIMG("ID_7F81FCF0872C4E71B5F1D29FAE6FD7D5",1)</v>
      </c>
      <c r="G8" s="13" t="s">
        <v>267</v>
      </c>
      <c r="H8" s="12" t="s">
        <v>14</v>
      </c>
      <c r="I8" s="12" t="s">
        <v>15</v>
      </c>
      <c r="J8" s="12" t="s">
        <v>16</v>
      </c>
      <c r="K8" s="15"/>
    </row>
    <row r="9" customHeight="1" spans="1:11">
      <c r="A9" s="4">
        <v>7</v>
      </c>
      <c r="B9" s="4">
        <v>2025</v>
      </c>
      <c r="C9" s="12">
        <v>1</v>
      </c>
      <c r="D9" s="12">
        <v>18</v>
      </c>
      <c r="E9" s="12" t="s">
        <v>272</v>
      </c>
      <c r="F9" s="16" t="str">
        <f>_xlfn.DISPIMG("ID_C539792593DD4ED7AB2AC0D07538D4F7",1)</f>
        <v>=DISPIMG("ID_C539792593DD4ED7AB2AC0D07538D4F7",1)</v>
      </c>
      <c r="G9" s="13" t="s">
        <v>262</v>
      </c>
      <c r="H9" s="12" t="s">
        <v>14</v>
      </c>
      <c r="I9" s="12" t="s">
        <v>15</v>
      </c>
      <c r="J9" s="12" t="s">
        <v>273</v>
      </c>
      <c r="K9" s="15"/>
    </row>
    <row r="10" customHeight="1" spans="1:11">
      <c r="A10" s="4">
        <v>8</v>
      </c>
      <c r="B10" s="4">
        <v>2025</v>
      </c>
      <c r="C10" s="4">
        <v>2</v>
      </c>
      <c r="D10" s="4">
        <v>6</v>
      </c>
      <c r="E10" s="12" t="s">
        <v>17</v>
      </c>
      <c r="F10" s="16" t="str">
        <f>_xlfn.DISPIMG("ID_E18D27861408492CAFB27CFF5A95B5F7",1)</f>
        <v>=DISPIMG("ID_E18D27861408492CAFB27CFF5A95B5F7",1)</v>
      </c>
      <c r="G10" s="13" t="s">
        <v>262</v>
      </c>
      <c r="H10" s="12" t="s">
        <v>14</v>
      </c>
      <c r="I10" s="12" t="s">
        <v>15</v>
      </c>
      <c r="J10" s="12" t="s">
        <v>274</v>
      </c>
      <c r="K10" s="15"/>
    </row>
    <row r="11" customHeight="1" spans="1:11">
      <c r="A11" s="4">
        <v>9</v>
      </c>
      <c r="B11" s="4">
        <v>2025</v>
      </c>
      <c r="C11" s="4">
        <v>2</v>
      </c>
      <c r="D11" s="4">
        <v>12</v>
      </c>
      <c r="E11" s="12" t="s">
        <v>275</v>
      </c>
      <c r="F11" s="16" t="str">
        <f>_xlfn.DISPIMG("ID_D65D32AE1E6947B392C97FD4E1F4DFB4",1)</f>
        <v>=DISPIMG("ID_D65D32AE1E6947B392C97FD4E1F4DFB4",1)</v>
      </c>
      <c r="G11" s="13" t="s">
        <v>262</v>
      </c>
      <c r="H11" s="12" t="s">
        <v>26</v>
      </c>
      <c r="I11" s="12" t="s">
        <v>15</v>
      </c>
      <c r="J11" s="12" t="s">
        <v>61</v>
      </c>
      <c r="K11" s="15"/>
    </row>
    <row r="12" customHeight="1" spans="1:11">
      <c r="A12" s="4">
        <v>10</v>
      </c>
      <c r="B12" s="4">
        <v>2025</v>
      </c>
      <c r="C12" s="4">
        <v>2</v>
      </c>
      <c r="D12" s="4">
        <v>12</v>
      </c>
      <c r="E12" s="12" t="s">
        <v>276</v>
      </c>
      <c r="F12" s="16" t="str">
        <f>_xlfn.DISPIMG("ID_80D1612BA3FE4B3A80C2B1045EEEDE57",1)</f>
        <v>=DISPIMG("ID_80D1612BA3FE4B3A80C2B1045EEEDE57",1)</v>
      </c>
      <c r="G12" s="13" t="s">
        <v>262</v>
      </c>
      <c r="H12" s="12" t="s">
        <v>26</v>
      </c>
      <c r="I12" s="12" t="s">
        <v>15</v>
      </c>
      <c r="J12" s="12" t="s">
        <v>61</v>
      </c>
      <c r="K12" s="15"/>
    </row>
    <row r="13" customHeight="1" spans="1:11">
      <c r="A13" s="4">
        <v>11</v>
      </c>
      <c r="B13" s="4">
        <v>2025</v>
      </c>
      <c r="C13" s="4">
        <v>2</v>
      </c>
      <c r="D13" s="4">
        <v>12</v>
      </c>
      <c r="E13" s="12" t="s">
        <v>123</v>
      </c>
      <c r="F13" s="16" t="str">
        <f>_xlfn.DISPIMG("ID_CAD5F3E01BD34AD1A6FFD1252CCF867D",1)</f>
        <v>=DISPIMG("ID_CAD5F3E01BD34AD1A6FFD1252CCF867D",1)</v>
      </c>
      <c r="G13" s="13" t="s">
        <v>262</v>
      </c>
      <c r="H13" s="12" t="s">
        <v>26</v>
      </c>
      <c r="I13" s="12" t="s">
        <v>15</v>
      </c>
      <c r="J13" s="12" t="s">
        <v>61</v>
      </c>
      <c r="K13" s="15"/>
    </row>
    <row r="14" customHeight="1" spans="1:11">
      <c r="A14" s="4">
        <v>12</v>
      </c>
      <c r="B14" s="4">
        <v>2025</v>
      </c>
      <c r="C14" s="4">
        <v>2</v>
      </c>
      <c r="D14" s="4">
        <v>13</v>
      </c>
      <c r="E14" s="12" t="s">
        <v>277</v>
      </c>
      <c r="F14" s="16" t="str">
        <f>_xlfn.DISPIMG("ID_BD2E0C82FD824F629AE61006E5C836EC",1)</f>
        <v>=DISPIMG("ID_BD2E0C82FD824F629AE61006E5C836EC",1)</v>
      </c>
      <c r="G14" s="13" t="s">
        <v>262</v>
      </c>
      <c r="H14" s="12" t="s">
        <v>14</v>
      </c>
      <c r="I14" s="12" t="s">
        <v>22</v>
      </c>
      <c r="J14" s="12" t="s">
        <v>278</v>
      </c>
      <c r="K14" s="15"/>
    </row>
    <row r="15" customHeight="1" spans="1:11">
      <c r="A15" s="4">
        <v>13</v>
      </c>
      <c r="B15" s="4">
        <v>2025</v>
      </c>
      <c r="C15" s="4">
        <v>2</v>
      </c>
      <c r="D15" s="4">
        <v>18</v>
      </c>
      <c r="E15" s="12" t="s">
        <v>279</v>
      </c>
      <c r="F15" s="16" t="str">
        <f>_xlfn.DISPIMG("ID_166E6327C7C84F5691348CBA05E737B2",1)</f>
        <v>=DISPIMG("ID_166E6327C7C84F5691348CBA05E737B2",1)</v>
      </c>
      <c r="G15" s="13" t="s">
        <v>262</v>
      </c>
      <c r="H15" s="12" t="s">
        <v>26</v>
      </c>
      <c r="I15" s="12" t="s">
        <v>15</v>
      </c>
      <c r="J15" s="12" t="s">
        <v>121</v>
      </c>
      <c r="K15" s="15"/>
    </row>
    <row r="16" customHeight="1" spans="1:11">
      <c r="A16" s="4">
        <v>14</v>
      </c>
      <c r="B16" s="4">
        <v>2025</v>
      </c>
      <c r="C16" s="4">
        <v>3</v>
      </c>
      <c r="D16" s="4">
        <v>4</v>
      </c>
      <c r="E16" s="12" t="s">
        <v>276</v>
      </c>
      <c r="F16" s="16" t="str">
        <f>_xlfn.DISPIMG("ID_661C4AC0A6D943D9B414BDACDD068F96",1)</f>
        <v>=DISPIMG("ID_661C4AC0A6D943D9B414BDACDD068F96",1)</v>
      </c>
      <c r="G16" s="13" t="s">
        <v>262</v>
      </c>
      <c r="H16" s="12" t="s">
        <v>26</v>
      </c>
      <c r="I16" s="12" t="s">
        <v>15</v>
      </c>
      <c r="J16" s="12" t="s">
        <v>280</v>
      </c>
      <c r="K16" s="15"/>
    </row>
    <row r="17" customHeight="1" spans="1:11">
      <c r="A17" s="4">
        <v>15</v>
      </c>
      <c r="B17" s="4">
        <v>2025</v>
      </c>
      <c r="C17" s="12">
        <v>3</v>
      </c>
      <c r="D17" s="12">
        <v>8</v>
      </c>
      <c r="E17" s="12" t="s">
        <v>281</v>
      </c>
      <c r="F17" s="16" t="str">
        <f>_xlfn.DISPIMG("ID_EB3673C8E1494519BB7A5572FAD9DAAD",1)</f>
        <v>=DISPIMG("ID_EB3673C8E1494519BB7A5572FAD9DAAD",1)</v>
      </c>
      <c r="G17" s="13" t="s">
        <v>267</v>
      </c>
      <c r="H17" s="12" t="s">
        <v>14</v>
      </c>
      <c r="I17" s="12" t="s">
        <v>93</v>
      </c>
      <c r="J17" s="12" t="s">
        <v>282</v>
      </c>
      <c r="K17" s="15"/>
    </row>
    <row r="18" customHeight="1" spans="1:11">
      <c r="A18" s="4">
        <v>16</v>
      </c>
      <c r="B18" s="4">
        <v>2025</v>
      </c>
      <c r="C18" s="12">
        <v>3</v>
      </c>
      <c r="D18" s="12">
        <v>10</v>
      </c>
      <c r="E18" s="12" t="s">
        <v>283</v>
      </c>
      <c r="F18" s="16" t="str">
        <f>_xlfn.DISPIMG("ID_482A02CBBC934979AE9254C69BF674AD",1)</f>
        <v>=DISPIMG("ID_482A02CBBC934979AE9254C69BF674AD",1)</v>
      </c>
      <c r="G18" s="13" t="s">
        <v>267</v>
      </c>
      <c r="H18" s="12" t="s">
        <v>14</v>
      </c>
      <c r="I18" s="12" t="s">
        <v>22</v>
      </c>
      <c r="J18" s="12" t="s">
        <v>284</v>
      </c>
      <c r="K18" s="15"/>
    </row>
    <row r="19" customHeight="1" spans="1:11">
      <c r="A19" s="4">
        <v>17</v>
      </c>
      <c r="B19" s="4">
        <v>2025</v>
      </c>
      <c r="C19" s="12">
        <v>3</v>
      </c>
      <c r="D19" s="12">
        <v>11</v>
      </c>
      <c r="E19" s="12" t="s">
        <v>285</v>
      </c>
      <c r="F19" s="16" t="str">
        <f>_xlfn.DISPIMG("ID_63A2566348C5408D8A773B576F5D2DB4",1)</f>
        <v>=DISPIMG("ID_63A2566348C5408D8A773B576F5D2DB4",1)</v>
      </c>
      <c r="G19" s="13" t="s">
        <v>267</v>
      </c>
      <c r="H19" s="12" t="s">
        <v>26</v>
      </c>
      <c r="I19" s="12" t="s">
        <v>15</v>
      </c>
      <c r="J19" s="12" t="s">
        <v>286</v>
      </c>
      <c r="K19" s="15"/>
    </row>
    <row r="20" customHeight="1" spans="1:11">
      <c r="A20" s="4">
        <v>18</v>
      </c>
      <c r="B20" s="4">
        <v>2025</v>
      </c>
      <c r="C20" s="12">
        <v>3</v>
      </c>
      <c r="D20" s="12">
        <v>11</v>
      </c>
      <c r="E20" s="12" t="s">
        <v>264</v>
      </c>
      <c r="F20" s="16" t="str">
        <f>_xlfn.DISPIMG("ID_9EE05FF670F44E299DBFFE8BB745A446",1)</f>
        <v>=DISPIMG("ID_9EE05FF670F44E299DBFFE8BB745A446",1)</v>
      </c>
      <c r="G20" s="13" t="s">
        <v>262</v>
      </c>
      <c r="H20" s="12" t="s">
        <v>26</v>
      </c>
      <c r="I20" s="12" t="s">
        <v>15</v>
      </c>
      <c r="J20" s="12" t="s">
        <v>286</v>
      </c>
      <c r="K20" s="15"/>
    </row>
    <row r="21" customHeight="1" spans="1:11">
      <c r="A21" s="4">
        <v>19</v>
      </c>
      <c r="B21" s="4">
        <v>2025</v>
      </c>
      <c r="C21" s="12">
        <v>3</v>
      </c>
      <c r="D21" s="12">
        <v>11</v>
      </c>
      <c r="E21" s="12" t="s">
        <v>287</v>
      </c>
      <c r="F21" s="16" t="str">
        <f>_xlfn.DISPIMG("ID_D8679EF2CCF748C497F1B772E4715862",1)</f>
        <v>=DISPIMG("ID_D8679EF2CCF748C497F1B772E4715862",1)</v>
      </c>
      <c r="G21" s="13" t="s">
        <v>262</v>
      </c>
      <c r="H21" s="12" t="s">
        <v>26</v>
      </c>
      <c r="I21" s="12" t="s">
        <v>15</v>
      </c>
      <c r="J21" s="12" t="s">
        <v>286</v>
      </c>
      <c r="K21" s="15"/>
    </row>
    <row r="22" customHeight="1" spans="1:11">
      <c r="A22" s="4">
        <v>20</v>
      </c>
      <c r="B22" s="4">
        <v>2025</v>
      </c>
      <c r="C22" s="12">
        <v>3</v>
      </c>
      <c r="D22" s="12">
        <v>11</v>
      </c>
      <c r="E22" s="12" t="s">
        <v>17</v>
      </c>
      <c r="F22" s="16" t="str">
        <f>_xlfn.DISPIMG("ID_4A66EBCCAE844A4AA0DE99B4EF94D46A",1)</f>
        <v>=DISPIMG("ID_4A66EBCCAE844A4AA0DE99B4EF94D46A",1)</v>
      </c>
      <c r="G22" s="13" t="s">
        <v>262</v>
      </c>
      <c r="H22" s="12" t="s">
        <v>26</v>
      </c>
      <c r="I22" s="12" t="s">
        <v>15</v>
      </c>
      <c r="J22" s="12" t="s">
        <v>286</v>
      </c>
      <c r="K22" s="15"/>
    </row>
    <row r="23" customHeight="1" spans="1:11">
      <c r="A23" s="4">
        <v>21</v>
      </c>
      <c r="B23" s="4">
        <v>2025</v>
      </c>
      <c r="C23" s="12">
        <v>4</v>
      </c>
      <c r="D23" s="12">
        <v>14</v>
      </c>
      <c r="E23" s="12" t="s">
        <v>281</v>
      </c>
      <c r="F23" s="16" t="str">
        <f>_xlfn.DISPIMG("ID_7BCBDF965E3B43D5BE01178B1B7346D1",1)</f>
        <v>=DISPIMG("ID_7BCBDF965E3B43D5BE01178B1B7346D1",1)</v>
      </c>
      <c r="G23" s="13" t="s">
        <v>267</v>
      </c>
      <c r="H23" s="12" t="s">
        <v>26</v>
      </c>
      <c r="I23" s="12" t="s">
        <v>15</v>
      </c>
      <c r="J23" s="12" t="s">
        <v>121</v>
      </c>
      <c r="K23" s="15"/>
    </row>
    <row r="24" customHeight="1" spans="1:11">
      <c r="A24" s="4">
        <v>22</v>
      </c>
      <c r="B24" s="4">
        <v>2025</v>
      </c>
      <c r="C24" s="12">
        <v>4</v>
      </c>
      <c r="D24" s="12">
        <v>14</v>
      </c>
      <c r="E24" s="12" t="s">
        <v>288</v>
      </c>
      <c r="F24" s="16" t="str">
        <f>_xlfn.DISPIMG("ID_748261D38D4E4DA4A735F0CD61CB0531",1)</f>
        <v>=DISPIMG("ID_748261D38D4E4DA4A735F0CD61CB0531",1)</v>
      </c>
      <c r="G24" s="13" t="s">
        <v>267</v>
      </c>
      <c r="H24" s="12" t="s">
        <v>26</v>
      </c>
      <c r="I24" s="12" t="s">
        <v>15</v>
      </c>
      <c r="J24" s="12" t="s">
        <v>121</v>
      </c>
      <c r="K24" s="15"/>
    </row>
    <row r="25" customHeight="1" spans="1:11">
      <c r="A25" s="4">
        <v>23</v>
      </c>
      <c r="B25" s="4">
        <v>2025</v>
      </c>
      <c r="C25" s="12">
        <v>4</v>
      </c>
      <c r="D25" s="12">
        <v>15</v>
      </c>
      <c r="E25" s="12" t="s">
        <v>289</v>
      </c>
      <c r="F25" s="16" t="str">
        <f>_xlfn.DISPIMG("ID_3BB60AF77A584D5B830CB120F715F1D0",1)</f>
        <v>=DISPIMG("ID_3BB60AF77A584D5B830CB120F715F1D0",1)</v>
      </c>
      <c r="G25" s="13" t="s">
        <v>262</v>
      </c>
      <c r="H25" s="12" t="s">
        <v>14</v>
      </c>
      <c r="I25" s="12" t="s">
        <v>15</v>
      </c>
      <c r="J25" s="12" t="s">
        <v>80</v>
      </c>
      <c r="K25" s="15"/>
    </row>
    <row r="26" customHeight="1" spans="1:11">
      <c r="A26" s="4">
        <v>24</v>
      </c>
      <c r="B26" s="4">
        <v>2025</v>
      </c>
      <c r="C26" s="12">
        <v>4</v>
      </c>
      <c r="D26" s="12">
        <v>22</v>
      </c>
      <c r="E26" s="12" t="s">
        <v>288</v>
      </c>
      <c r="F26" s="16" t="str">
        <f>_xlfn.DISPIMG("ID_01B734AFF4E44BB791ADE9AC4932F9B3",1)</f>
        <v>=DISPIMG("ID_01B734AFF4E44BB791ADE9AC4932F9B3",1)</v>
      </c>
      <c r="G26" s="13" t="s">
        <v>267</v>
      </c>
      <c r="H26" s="12" t="s">
        <v>26</v>
      </c>
      <c r="I26" s="12" t="s">
        <v>15</v>
      </c>
      <c r="J26" s="12" t="s">
        <v>121</v>
      </c>
      <c r="K26" s="15"/>
    </row>
    <row r="27" customHeight="1" spans="1:11">
      <c r="A27" s="4">
        <v>25</v>
      </c>
      <c r="B27" s="4">
        <v>2025</v>
      </c>
      <c r="C27" s="12">
        <v>4</v>
      </c>
      <c r="D27" s="12">
        <v>22</v>
      </c>
      <c r="E27" s="12" t="s">
        <v>271</v>
      </c>
      <c r="F27" s="16" t="str">
        <f>_xlfn.DISPIMG("ID_382AE870C1E547E9A42ACCCB3B108BCA",1)</f>
        <v>=DISPIMG("ID_382AE870C1E547E9A42ACCCB3B108BCA",1)</v>
      </c>
      <c r="G27" s="13" t="s">
        <v>267</v>
      </c>
      <c r="H27" s="12" t="s">
        <v>26</v>
      </c>
      <c r="I27" s="12" t="s">
        <v>15</v>
      </c>
      <c r="J27" s="12" t="s">
        <v>121</v>
      </c>
      <c r="K27" s="15"/>
    </row>
    <row r="28" customHeight="1" spans="1:11">
      <c r="A28" s="4">
        <v>26</v>
      </c>
      <c r="B28" s="4">
        <v>2025</v>
      </c>
      <c r="C28" s="12">
        <v>4</v>
      </c>
      <c r="D28" s="12">
        <v>22</v>
      </c>
      <c r="E28" s="12" t="s">
        <v>276</v>
      </c>
      <c r="F28" s="16" t="str">
        <f>_xlfn.DISPIMG("ID_AFC9B9B5C0C54C2FB6D7100A30A396B0",1)</f>
        <v>=DISPIMG("ID_AFC9B9B5C0C54C2FB6D7100A30A396B0",1)</v>
      </c>
      <c r="G28" s="13" t="s">
        <v>262</v>
      </c>
      <c r="H28" s="12" t="s">
        <v>26</v>
      </c>
      <c r="I28" s="12" t="s">
        <v>15</v>
      </c>
      <c r="J28" s="12" t="s">
        <v>208</v>
      </c>
      <c r="K28" s="15"/>
    </row>
    <row r="29" customHeight="1" spans="1:11">
      <c r="A29" s="4">
        <v>27</v>
      </c>
      <c r="B29" s="4">
        <v>2025</v>
      </c>
      <c r="C29" s="12">
        <v>4</v>
      </c>
      <c r="D29" s="12">
        <v>28</v>
      </c>
      <c r="E29" s="12" t="s">
        <v>290</v>
      </c>
      <c r="F29" s="16" t="str">
        <f>_xlfn.DISPIMG("ID_DC2C76D673A0418B869E132ACA2378DE",1)</f>
        <v>=DISPIMG("ID_DC2C76D673A0418B869E132ACA2378DE",1)</v>
      </c>
      <c r="G29" s="13" t="s">
        <v>267</v>
      </c>
      <c r="H29" s="12" t="s">
        <v>14</v>
      </c>
      <c r="I29" s="12" t="s">
        <v>22</v>
      </c>
      <c r="J29" s="12" t="s">
        <v>240</v>
      </c>
      <c r="K29" s="15"/>
    </row>
    <row r="30" customHeight="1" spans="1:11">
      <c r="A30" s="4">
        <v>28</v>
      </c>
      <c r="B30" s="4">
        <v>2025</v>
      </c>
      <c r="C30" s="12">
        <v>4</v>
      </c>
      <c r="D30" s="12">
        <v>29</v>
      </c>
      <c r="E30" s="12" t="s">
        <v>291</v>
      </c>
      <c r="F30" s="16" t="str">
        <f>_xlfn.DISPIMG("ID_C613745074034C419D8B40D019B906F9",1)</f>
        <v>=DISPIMG("ID_C613745074034C419D8B40D019B906F9",1)</v>
      </c>
      <c r="G30" s="13" t="s">
        <v>267</v>
      </c>
      <c r="H30" s="12" t="s">
        <v>14</v>
      </c>
      <c r="I30" s="12" t="s">
        <v>15</v>
      </c>
      <c r="J30" s="12" t="s">
        <v>292</v>
      </c>
      <c r="K30" s="15"/>
    </row>
    <row r="31" customHeight="1" spans="1:11">
      <c r="A31" s="4">
        <v>29</v>
      </c>
      <c r="B31" s="4">
        <v>2025</v>
      </c>
      <c r="C31" s="4">
        <v>5</v>
      </c>
      <c r="D31" s="4">
        <v>2</v>
      </c>
      <c r="E31" s="12" t="s">
        <v>293</v>
      </c>
      <c r="F31" s="12" t="str">
        <f>_xlfn.DISPIMG("ID_D8DC855A434B4AB4B90CDFD722674087",1)</f>
        <v>=DISPIMG("ID_D8DC855A434B4AB4B90CDFD722674087",1)</v>
      </c>
      <c r="G31" s="13" t="s">
        <v>262</v>
      </c>
      <c r="H31" s="12" t="s">
        <v>14</v>
      </c>
      <c r="I31" s="12" t="s">
        <v>22</v>
      </c>
      <c r="J31" s="12" t="s">
        <v>294</v>
      </c>
      <c r="K31" s="15"/>
    </row>
    <row r="32" customHeight="1" spans="1:11">
      <c r="A32" s="4">
        <v>30</v>
      </c>
      <c r="B32" s="4">
        <v>2025</v>
      </c>
      <c r="C32" s="12">
        <v>5</v>
      </c>
      <c r="D32" s="12">
        <v>8</v>
      </c>
      <c r="E32" s="12" t="s">
        <v>290</v>
      </c>
      <c r="F32" s="16" t="str">
        <f>_xlfn.DISPIMG("ID_DB105813705E4E3996AB18C46155628D",1)</f>
        <v>=DISPIMG("ID_DB105813705E4E3996AB18C46155628D",1)</v>
      </c>
      <c r="G32" s="13" t="s">
        <v>267</v>
      </c>
      <c r="H32" s="12" t="s">
        <v>14</v>
      </c>
      <c r="I32" s="12" t="s">
        <v>24</v>
      </c>
      <c r="J32" s="12" t="s">
        <v>295</v>
      </c>
      <c r="K32" s="15"/>
    </row>
    <row r="33" customHeight="1" spans="1:11">
      <c r="A33" s="4">
        <v>31</v>
      </c>
      <c r="B33" s="4">
        <v>2025</v>
      </c>
      <c r="C33" s="12">
        <v>5</v>
      </c>
      <c r="D33" s="12">
        <v>14</v>
      </c>
      <c r="E33" s="12" t="s">
        <v>296</v>
      </c>
      <c r="F33" s="16" t="str">
        <f>_xlfn.DISPIMG("ID_FB04A93C26ED494BBBBD5D27DCD902A9",1)</f>
        <v>=DISPIMG("ID_FB04A93C26ED494BBBBD5D27DCD902A9",1)</v>
      </c>
      <c r="G33" s="13" t="s">
        <v>262</v>
      </c>
      <c r="H33" s="12" t="s">
        <v>26</v>
      </c>
      <c r="I33" s="12" t="s">
        <v>15</v>
      </c>
      <c r="J33" s="12" t="s">
        <v>35</v>
      </c>
      <c r="K33" s="15"/>
    </row>
    <row r="34" customHeight="1" spans="1:11">
      <c r="A34" s="4">
        <v>32</v>
      </c>
      <c r="B34" s="4">
        <v>2025</v>
      </c>
      <c r="C34" s="12">
        <v>5</v>
      </c>
      <c r="D34" s="12">
        <v>14</v>
      </c>
      <c r="E34" s="12" t="s">
        <v>297</v>
      </c>
      <c r="F34" s="16" t="str">
        <f>_xlfn.DISPIMG("ID_95433C45AC9B4C949F5B807064EA6A90",1)</f>
        <v>=DISPIMG("ID_95433C45AC9B4C949F5B807064EA6A90",1)</v>
      </c>
      <c r="G34" s="13" t="s">
        <v>262</v>
      </c>
      <c r="H34" s="12" t="s">
        <v>26</v>
      </c>
      <c r="I34" s="12" t="s">
        <v>15</v>
      </c>
      <c r="J34" s="12" t="s">
        <v>35</v>
      </c>
      <c r="K34" s="15"/>
    </row>
    <row r="35" customHeight="1" spans="1:11">
      <c r="A35" s="4">
        <v>33</v>
      </c>
      <c r="B35" s="4">
        <v>2025</v>
      </c>
      <c r="C35" s="12">
        <v>5</v>
      </c>
      <c r="D35" s="12">
        <v>19</v>
      </c>
      <c r="E35" s="12" t="s">
        <v>298</v>
      </c>
      <c r="F35" s="16" t="str">
        <f>_xlfn.DISPIMG("ID_7FFB1A831AEA4EAB862EFE2376EA9AC1",1)</f>
        <v>=DISPIMG("ID_7FFB1A831AEA4EAB862EFE2376EA9AC1",1)</v>
      </c>
      <c r="G35" s="13" t="s">
        <v>262</v>
      </c>
      <c r="H35" s="12" t="s">
        <v>14</v>
      </c>
      <c r="I35" s="12" t="s">
        <v>24</v>
      </c>
      <c r="J35" s="12" t="s">
        <v>299</v>
      </c>
      <c r="K35" s="15"/>
    </row>
    <row r="36" customHeight="1" spans="1:11">
      <c r="A36" s="4">
        <v>34</v>
      </c>
      <c r="B36" s="4">
        <v>2025</v>
      </c>
      <c r="C36" s="4">
        <v>6</v>
      </c>
      <c r="D36" s="4">
        <v>4</v>
      </c>
      <c r="E36" s="12" t="s">
        <v>300</v>
      </c>
      <c r="F36" s="12" t="str">
        <f>_xlfn.DISPIMG("ID_E3C81FA4CFAD4136AB4F84B6864D06E5",1)</f>
        <v>=DISPIMG("ID_E3C81FA4CFAD4136AB4F84B6864D06E5",1)</v>
      </c>
      <c r="G36" s="13" t="s">
        <v>262</v>
      </c>
      <c r="H36" s="12" t="s">
        <v>14</v>
      </c>
      <c r="I36" s="12" t="s">
        <v>19</v>
      </c>
      <c r="J36" s="12" t="s">
        <v>301</v>
      </c>
      <c r="K36" s="15"/>
    </row>
    <row r="37" customHeight="1" spans="1:11">
      <c r="A37" s="4">
        <v>35</v>
      </c>
      <c r="B37" s="4">
        <v>2025</v>
      </c>
      <c r="C37" s="4">
        <v>6</v>
      </c>
      <c r="D37" s="4">
        <v>5</v>
      </c>
      <c r="E37" s="12" t="s">
        <v>293</v>
      </c>
      <c r="F37" s="12" t="str">
        <f>_xlfn.DISPIMG("ID_D0C26E8C5CC647E3983A612D813A74F2",1)</f>
        <v>=DISPIMG("ID_D0C26E8C5CC647E3983A612D813A74F2",1)</v>
      </c>
      <c r="G37" s="13" t="s">
        <v>262</v>
      </c>
      <c r="H37" s="12" t="s">
        <v>14</v>
      </c>
      <c r="I37" s="12" t="s">
        <v>22</v>
      </c>
      <c r="J37" s="12" t="s">
        <v>51</v>
      </c>
      <c r="K37" s="15"/>
    </row>
    <row r="38" customHeight="1" spans="1:11">
      <c r="A38" s="4">
        <v>36</v>
      </c>
      <c r="B38" s="4">
        <v>2025</v>
      </c>
      <c r="C38" s="12">
        <v>6</v>
      </c>
      <c r="D38" s="12">
        <v>9</v>
      </c>
      <c r="E38" s="12" t="s">
        <v>302</v>
      </c>
      <c r="F38" s="16" t="str">
        <f>_xlfn.DISPIMG("ID_73C9B196795E489F901BB24027F55F91",1)</f>
        <v>=DISPIMG("ID_73C9B196795E489F901BB24027F55F91",1)</v>
      </c>
      <c r="G38" s="13" t="s">
        <v>262</v>
      </c>
      <c r="H38" s="12" t="s">
        <v>14</v>
      </c>
      <c r="I38" s="12" t="s">
        <v>93</v>
      </c>
      <c r="J38" s="12" t="s">
        <v>251</v>
      </c>
      <c r="K38" s="15"/>
    </row>
    <row r="39" customHeight="1" spans="1:11">
      <c r="A39" s="4">
        <v>37</v>
      </c>
      <c r="B39" s="4">
        <v>2025</v>
      </c>
      <c r="C39" s="12">
        <v>6</v>
      </c>
      <c r="D39" s="12">
        <v>10</v>
      </c>
      <c r="E39" s="12" t="s">
        <v>17</v>
      </c>
      <c r="F39" s="16" t="str">
        <f>_xlfn.DISPIMG("ID_62F075C55A0243618733B6B009AA1C91",1)</f>
        <v>=DISPIMG("ID_62F075C55A0243618733B6B009AA1C91",1)</v>
      </c>
      <c r="G39" s="13" t="s">
        <v>267</v>
      </c>
      <c r="H39" s="12" t="s">
        <v>14</v>
      </c>
      <c r="I39" s="12" t="s">
        <v>22</v>
      </c>
      <c r="J39" s="12" t="s">
        <v>51</v>
      </c>
      <c r="K39" s="15"/>
    </row>
    <row r="40" customHeight="1" spans="1:11">
      <c r="A40" s="4">
        <v>38</v>
      </c>
      <c r="B40" s="4">
        <v>2025</v>
      </c>
      <c r="C40" s="12">
        <v>6</v>
      </c>
      <c r="D40" s="12">
        <v>10</v>
      </c>
      <c r="E40" s="12" t="s">
        <v>303</v>
      </c>
      <c r="F40" s="16" t="str">
        <f>_xlfn.DISPIMG("ID_A86A14149CE443B29B4F0218A1A0F586",1)</f>
        <v>=DISPIMG("ID_A86A14149CE443B29B4F0218A1A0F586",1)</v>
      </c>
      <c r="G40" s="13" t="s">
        <v>262</v>
      </c>
      <c r="H40" s="12" t="s">
        <v>26</v>
      </c>
      <c r="I40" s="12" t="s">
        <v>15</v>
      </c>
      <c r="J40" s="12" t="s">
        <v>34</v>
      </c>
      <c r="K40" s="15"/>
    </row>
    <row r="41" customHeight="1" spans="1:11">
      <c r="A41" s="4">
        <v>39</v>
      </c>
      <c r="B41" s="4">
        <v>2025</v>
      </c>
      <c r="C41" s="12">
        <v>6</v>
      </c>
      <c r="D41" s="12">
        <v>16</v>
      </c>
      <c r="E41" s="12" t="s">
        <v>17</v>
      </c>
      <c r="F41" s="16" t="str">
        <f>_xlfn.DISPIMG("ID_607B1B10AD814851A50579BD3A1D5DCC",1)</f>
        <v>=DISPIMG("ID_607B1B10AD814851A50579BD3A1D5DCC",1)</v>
      </c>
      <c r="G41" s="13" t="s">
        <v>262</v>
      </c>
      <c r="H41" s="12" t="s">
        <v>26</v>
      </c>
      <c r="I41" s="12" t="s">
        <v>15</v>
      </c>
      <c r="J41" s="12" t="s">
        <v>34</v>
      </c>
      <c r="K41" s="15"/>
    </row>
    <row r="42" customHeight="1" spans="1:11">
      <c r="A42" s="4">
        <v>40</v>
      </c>
      <c r="B42" s="4">
        <v>2025</v>
      </c>
      <c r="C42" s="12">
        <v>6</v>
      </c>
      <c r="D42" s="12">
        <v>17</v>
      </c>
      <c r="E42" s="12" t="s">
        <v>304</v>
      </c>
      <c r="F42" s="16" t="str">
        <f>_xlfn.DISPIMG("ID_FE9208B07E81436FAD108D4994E149F5",1)</f>
        <v>=DISPIMG("ID_FE9208B07E81436FAD108D4994E149F5",1)</v>
      </c>
      <c r="G42" s="13" t="s">
        <v>305</v>
      </c>
      <c r="H42" s="12" t="s">
        <v>26</v>
      </c>
      <c r="I42" s="12" t="s">
        <v>15</v>
      </c>
      <c r="J42" s="12" t="s">
        <v>306</v>
      </c>
      <c r="K42" s="15"/>
    </row>
    <row r="43" customHeight="1" spans="1:11">
      <c r="A43" s="4">
        <v>41</v>
      </c>
      <c r="B43" s="4">
        <v>2025</v>
      </c>
      <c r="C43" s="12">
        <v>6</v>
      </c>
      <c r="D43" s="12">
        <v>20</v>
      </c>
      <c r="E43" s="12" t="s">
        <v>307</v>
      </c>
      <c r="F43" s="16" t="str">
        <f>_xlfn.DISPIMG("ID_EFC8DD0FB28640E6AB29274B7590F96F",1)</f>
        <v>=DISPIMG("ID_EFC8DD0FB28640E6AB29274B7590F96F",1)</v>
      </c>
      <c r="G43" s="13" t="s">
        <v>262</v>
      </c>
      <c r="H43" s="12" t="s">
        <v>14</v>
      </c>
      <c r="I43" s="12" t="s">
        <v>24</v>
      </c>
      <c r="J43" s="12" t="s">
        <v>308</v>
      </c>
      <c r="K43" s="15"/>
    </row>
    <row r="44" customHeight="1" spans="1:11">
      <c r="A44" s="4">
        <v>42</v>
      </c>
      <c r="B44" s="4">
        <v>2025</v>
      </c>
      <c r="C44" s="12">
        <v>6</v>
      </c>
      <c r="D44" s="12">
        <v>20</v>
      </c>
      <c r="E44" s="12" t="s">
        <v>309</v>
      </c>
      <c r="F44" s="16" t="str">
        <f>_xlfn.DISPIMG("ID_1FE97F48BCE54D829415FD2BD28DCD71",1)</f>
        <v>=DISPIMG("ID_1FE97F48BCE54D829415FD2BD28DCD71",1)</v>
      </c>
      <c r="G44" s="13" t="s">
        <v>267</v>
      </c>
      <c r="H44" s="12" t="s">
        <v>26</v>
      </c>
      <c r="I44" s="12" t="s">
        <v>15</v>
      </c>
      <c r="J44" s="12" t="s">
        <v>34</v>
      </c>
      <c r="K44" s="15"/>
    </row>
    <row r="45" customHeight="1" spans="1:11">
      <c r="A45" s="4">
        <v>43</v>
      </c>
      <c r="B45" s="4">
        <v>2025</v>
      </c>
      <c r="C45" s="12">
        <v>6</v>
      </c>
      <c r="D45" s="12">
        <v>20</v>
      </c>
      <c r="E45" s="12" t="s">
        <v>123</v>
      </c>
      <c r="F45" s="16" t="str">
        <f>_xlfn.DISPIMG("ID_DA96E14B24FE45F3882C7698F39E7D1D",1)</f>
        <v>=DISPIMG("ID_DA96E14B24FE45F3882C7698F39E7D1D",1)</v>
      </c>
      <c r="G45" s="13" t="s">
        <v>262</v>
      </c>
      <c r="H45" s="12" t="s">
        <v>26</v>
      </c>
      <c r="I45" s="12" t="s">
        <v>15</v>
      </c>
      <c r="J45" s="12" t="s">
        <v>34</v>
      </c>
      <c r="K45" s="15"/>
    </row>
    <row r="46" customHeight="1" spans="1:11">
      <c r="A46" s="4">
        <v>44</v>
      </c>
      <c r="B46" s="4">
        <v>2025</v>
      </c>
      <c r="C46" s="12">
        <v>6</v>
      </c>
      <c r="D46" s="12">
        <v>22</v>
      </c>
      <c r="E46" s="12" t="s">
        <v>310</v>
      </c>
      <c r="F46" s="16" t="str">
        <f>_xlfn.DISPIMG("ID_F038A0D5D46C4DDAB8824C4A1BFFE4AE",1)</f>
        <v>=DISPIMG("ID_F038A0D5D46C4DDAB8824C4A1BFFE4AE",1)</v>
      </c>
      <c r="G46" s="13" t="s">
        <v>262</v>
      </c>
      <c r="H46" s="12" t="s">
        <v>14</v>
      </c>
      <c r="I46" s="12" t="s">
        <v>19</v>
      </c>
      <c r="J46" s="12" t="s">
        <v>20</v>
      </c>
      <c r="K46" s="15"/>
    </row>
    <row r="47" customHeight="1" spans="1:11">
      <c r="A47" s="4">
        <v>45</v>
      </c>
      <c r="B47" s="4">
        <v>2025</v>
      </c>
      <c r="C47" s="12">
        <v>6</v>
      </c>
      <c r="D47" s="12">
        <v>23</v>
      </c>
      <c r="E47" s="12" t="s">
        <v>271</v>
      </c>
      <c r="F47" s="16" t="str">
        <f>_xlfn.DISPIMG("ID_156A012F707D48E5BC8D4F471A1501CC",1)</f>
        <v>=DISPIMG("ID_156A012F707D48E5BC8D4F471A1501CC",1)</v>
      </c>
      <c r="G47" s="13" t="s">
        <v>267</v>
      </c>
      <c r="H47" s="12" t="s">
        <v>14</v>
      </c>
      <c r="I47" s="12" t="s">
        <v>15</v>
      </c>
      <c r="J47" s="12" t="s">
        <v>311</v>
      </c>
      <c r="K47" s="15"/>
    </row>
    <row r="48" customHeight="1" spans="1:11">
      <c r="A48" s="4">
        <v>46</v>
      </c>
      <c r="B48" s="4">
        <v>2025</v>
      </c>
      <c r="C48" s="12">
        <v>6</v>
      </c>
      <c r="D48" s="12">
        <v>24</v>
      </c>
      <c r="E48" s="12" t="s">
        <v>123</v>
      </c>
      <c r="F48" s="16" t="str">
        <f>_xlfn.DISPIMG("ID_8B92A775CEC84509B52D0EC3462B1B8B",1)</f>
        <v>=DISPIMG("ID_8B92A775CEC84509B52D0EC3462B1B8B",1)</v>
      </c>
      <c r="G48" s="13" t="s">
        <v>262</v>
      </c>
      <c r="H48" s="12" t="s">
        <v>26</v>
      </c>
      <c r="I48" s="12" t="s">
        <v>15</v>
      </c>
      <c r="J48" s="12" t="s">
        <v>312</v>
      </c>
      <c r="K48" s="15"/>
    </row>
    <row r="49" customHeight="1" spans="1:11">
      <c r="A49" s="4">
        <v>47</v>
      </c>
      <c r="B49" s="4">
        <v>2025</v>
      </c>
      <c r="C49" s="12">
        <v>6</v>
      </c>
      <c r="D49" s="12">
        <v>25</v>
      </c>
      <c r="E49" s="12" t="s">
        <v>313</v>
      </c>
      <c r="F49" s="16" t="str">
        <f>_xlfn.DISPIMG("ID_3026D7DF287143EA99DAEE3AB79A4265",1)</f>
        <v>=DISPIMG("ID_3026D7DF287143EA99DAEE3AB79A4265",1)</v>
      </c>
      <c r="G49" s="13" t="s">
        <v>262</v>
      </c>
      <c r="H49" s="12" t="s">
        <v>14</v>
      </c>
      <c r="I49" s="12" t="s">
        <v>24</v>
      </c>
      <c r="J49" s="12" t="s">
        <v>314</v>
      </c>
      <c r="K49" s="15"/>
    </row>
    <row r="50" customHeight="1" spans="1:11">
      <c r="A50" s="4">
        <v>48</v>
      </c>
      <c r="B50" s="4">
        <v>2025</v>
      </c>
      <c r="C50" s="4">
        <v>7</v>
      </c>
      <c r="D50" s="4">
        <v>2</v>
      </c>
      <c r="E50" s="12" t="s">
        <v>315</v>
      </c>
      <c r="F50" s="12" t="str">
        <f>_xlfn.DISPIMG("ID_AB120F503A1B49F3A60EE69B21E2390F",1)</f>
        <v>=DISPIMG("ID_AB120F503A1B49F3A60EE69B21E2390F",1)</v>
      </c>
      <c r="G50" s="13" t="s">
        <v>267</v>
      </c>
      <c r="H50" s="12" t="s">
        <v>14</v>
      </c>
      <c r="I50" s="12" t="s">
        <v>22</v>
      </c>
      <c r="J50" s="12" t="s">
        <v>221</v>
      </c>
      <c r="K50" s="15"/>
    </row>
    <row r="51" customHeight="1" spans="1:11">
      <c r="A51" s="4">
        <v>49</v>
      </c>
      <c r="B51" s="4">
        <v>2025</v>
      </c>
      <c r="C51" s="12">
        <v>7</v>
      </c>
      <c r="D51" s="12">
        <v>3</v>
      </c>
      <c r="E51" s="12">
        <v>166082316</v>
      </c>
      <c r="F51" s="16" t="str">
        <f>_xlfn.DISPIMG("ID_B90B9ADF8428411EA9A5B16E35CDD14C",1)</f>
        <v>=DISPIMG("ID_B90B9ADF8428411EA9A5B16E35CDD14C",1)</v>
      </c>
      <c r="G51" s="13" t="s">
        <v>267</v>
      </c>
      <c r="H51" s="12" t="s">
        <v>26</v>
      </c>
      <c r="I51" s="12" t="s">
        <v>160</v>
      </c>
      <c r="J51" s="12" t="s">
        <v>61</v>
      </c>
      <c r="K51" s="15"/>
    </row>
    <row r="52" customHeight="1" spans="1:11">
      <c r="A52" s="4">
        <v>50</v>
      </c>
      <c r="B52" s="4">
        <v>2025</v>
      </c>
      <c r="C52" s="12">
        <v>7</v>
      </c>
      <c r="D52" s="12">
        <v>3</v>
      </c>
      <c r="E52" s="12" t="s">
        <v>316</v>
      </c>
      <c r="F52" s="16" t="str">
        <f>_xlfn.DISPIMG("ID_D21D414702AE4AB089F3FE15AE33A8ED",1)</f>
        <v>=DISPIMG("ID_D21D414702AE4AB089F3FE15AE33A8ED",1)</v>
      </c>
      <c r="G52" s="13" t="s">
        <v>267</v>
      </c>
      <c r="H52" s="12" t="s">
        <v>14</v>
      </c>
      <c r="I52" s="12" t="s">
        <v>24</v>
      </c>
      <c r="J52" s="12" t="s">
        <v>68</v>
      </c>
      <c r="K52" s="15"/>
    </row>
    <row r="53" customHeight="1" spans="1:11">
      <c r="A53" s="4">
        <v>51</v>
      </c>
      <c r="B53" s="4">
        <v>2025</v>
      </c>
      <c r="C53" s="12">
        <v>7</v>
      </c>
      <c r="D53" s="12">
        <v>6</v>
      </c>
      <c r="E53" s="12" t="s">
        <v>317</v>
      </c>
      <c r="F53" s="16" t="str">
        <f>_xlfn.DISPIMG("ID_6474707615574966B0EBF9D097C46B02",1)</f>
        <v>=DISPIMG("ID_6474707615574966B0EBF9D097C46B02",1)</v>
      </c>
      <c r="G53" s="13" t="s">
        <v>262</v>
      </c>
      <c r="H53" s="12" t="s">
        <v>114</v>
      </c>
      <c r="I53" s="12" t="s">
        <v>22</v>
      </c>
      <c r="J53" s="12" t="s">
        <v>51</v>
      </c>
      <c r="K53" s="15"/>
    </row>
    <row r="54" customHeight="1" spans="1:11">
      <c r="A54" s="4">
        <v>52</v>
      </c>
      <c r="B54" s="4">
        <v>2025</v>
      </c>
      <c r="C54" s="12">
        <v>7</v>
      </c>
      <c r="D54" s="12">
        <v>10</v>
      </c>
      <c r="E54" s="12" t="s">
        <v>318</v>
      </c>
      <c r="F54" s="16" t="str">
        <f>_xlfn.DISPIMG("ID_FC80F960F50A4ECDBAA0F1E74D064C97",1)</f>
        <v>=DISPIMG("ID_FC80F960F50A4ECDBAA0F1E74D064C97",1)</v>
      </c>
      <c r="G54" s="13" t="s">
        <v>267</v>
      </c>
      <c r="H54" s="12" t="s">
        <v>26</v>
      </c>
      <c r="I54" s="12" t="s">
        <v>15</v>
      </c>
      <c r="J54" s="12" t="s">
        <v>121</v>
      </c>
      <c r="K54" s="15"/>
    </row>
    <row r="55" customHeight="1" spans="1:11">
      <c r="A55" s="4">
        <v>53</v>
      </c>
      <c r="B55" s="4">
        <v>2025</v>
      </c>
      <c r="C55" s="12">
        <v>7</v>
      </c>
      <c r="D55" s="12">
        <v>11</v>
      </c>
      <c r="E55" s="12" t="s">
        <v>319</v>
      </c>
      <c r="F55" s="16" t="str">
        <f>_xlfn.DISPIMG("ID_1DEC08E1D5CE460FBF9B75D2E0F024B3",1)</f>
        <v>=DISPIMG("ID_1DEC08E1D5CE460FBF9B75D2E0F024B3",1)</v>
      </c>
      <c r="G55" s="13" t="s">
        <v>262</v>
      </c>
      <c r="H55" s="12" t="s">
        <v>14</v>
      </c>
      <c r="I55" s="12" t="s">
        <v>24</v>
      </c>
      <c r="J55" s="12" t="s">
        <v>320</v>
      </c>
      <c r="K55" s="15"/>
    </row>
    <row r="56" customHeight="1" spans="1:11">
      <c r="A56" s="4">
        <v>54</v>
      </c>
      <c r="B56" s="4">
        <v>2025</v>
      </c>
      <c r="C56" s="12">
        <v>7</v>
      </c>
      <c r="D56" s="12">
        <v>20</v>
      </c>
      <c r="E56" s="12" t="s">
        <v>271</v>
      </c>
      <c r="F56" s="16" t="str">
        <f>_xlfn.DISPIMG("ID_9A96B3088A8C489A8ABBCF33A6C9C29C",1)</f>
        <v>=DISPIMG("ID_9A96B3088A8C489A8ABBCF33A6C9C29C",1)</v>
      </c>
      <c r="G56" s="13" t="s">
        <v>267</v>
      </c>
      <c r="H56" s="12" t="s">
        <v>14</v>
      </c>
      <c r="I56" s="12" t="s">
        <v>24</v>
      </c>
      <c r="J56" s="12" t="s">
        <v>321</v>
      </c>
      <c r="K56" s="15"/>
    </row>
    <row r="57" customHeight="1" spans="1:11">
      <c r="A57" s="4">
        <v>55</v>
      </c>
      <c r="B57" s="4">
        <v>2025</v>
      </c>
      <c r="C57" s="12">
        <v>7</v>
      </c>
      <c r="D57" s="12">
        <v>21</v>
      </c>
      <c r="E57" s="12" t="s">
        <v>17</v>
      </c>
      <c r="F57" s="16" t="str">
        <f>_xlfn.DISPIMG("ID_D5798CE9C55D4D27941DBF5AB5B81A0A",1)</f>
        <v>=DISPIMG("ID_D5798CE9C55D4D27941DBF5AB5B81A0A",1)</v>
      </c>
      <c r="G57" s="13" t="s">
        <v>267</v>
      </c>
      <c r="H57" s="12" t="s">
        <v>26</v>
      </c>
      <c r="I57" s="12" t="s">
        <v>15</v>
      </c>
      <c r="J57" s="12" t="s">
        <v>121</v>
      </c>
      <c r="K57" s="15"/>
    </row>
    <row r="58" customHeight="1" spans="1:11">
      <c r="A58" s="4">
        <v>56</v>
      </c>
      <c r="B58" s="4">
        <v>2025</v>
      </c>
      <c r="C58" s="12">
        <v>7</v>
      </c>
      <c r="D58" s="12">
        <v>21</v>
      </c>
      <c r="E58" s="12" t="s">
        <v>17</v>
      </c>
      <c r="F58" s="16" t="str">
        <f>_xlfn.DISPIMG("ID_A0C6D98FF36D4692BBAEB28B2D13E42C",1)</f>
        <v>=DISPIMG("ID_A0C6D98FF36D4692BBAEB28B2D13E42C",1)</v>
      </c>
      <c r="G58" s="13" t="s">
        <v>267</v>
      </c>
      <c r="H58" s="12" t="s">
        <v>26</v>
      </c>
      <c r="I58" s="12" t="s">
        <v>15</v>
      </c>
      <c r="J58" s="12" t="s">
        <v>121</v>
      </c>
      <c r="K58" s="15"/>
    </row>
    <row r="59" customHeight="1" spans="1:11">
      <c r="A59" s="4">
        <v>57</v>
      </c>
      <c r="B59" s="4">
        <v>2025</v>
      </c>
      <c r="C59" s="12">
        <v>7</v>
      </c>
      <c r="D59" s="12">
        <v>22</v>
      </c>
      <c r="E59" s="12" t="s">
        <v>264</v>
      </c>
      <c r="F59" s="16" t="str">
        <f>_xlfn.DISPIMG("ID_37C9F80822444174B9679627F9DE6D23",1)</f>
        <v>=DISPIMG("ID_37C9F80822444174B9679627F9DE6D23",1)</v>
      </c>
      <c r="G59" s="13" t="s">
        <v>262</v>
      </c>
      <c r="H59" s="12" t="s">
        <v>26</v>
      </c>
      <c r="I59" s="12" t="s">
        <v>15</v>
      </c>
      <c r="J59" s="12" t="s">
        <v>322</v>
      </c>
      <c r="K59" s="15"/>
    </row>
    <row r="60" customHeight="1" spans="1:11">
      <c r="A60" s="4">
        <v>58</v>
      </c>
      <c r="B60" s="4">
        <v>2025</v>
      </c>
      <c r="C60" s="12">
        <v>7</v>
      </c>
      <c r="D60" s="12">
        <v>25</v>
      </c>
      <c r="E60" s="12" t="s">
        <v>323</v>
      </c>
      <c r="F60" s="16" t="str">
        <f>_xlfn.DISPIMG("ID_3232DAEFD4D047B8AF2FD99E24181113",1)</f>
        <v>=DISPIMG("ID_3232DAEFD4D047B8AF2FD99E24181113",1)</v>
      </c>
      <c r="G60" s="13" t="s">
        <v>262</v>
      </c>
      <c r="H60" s="12" t="s">
        <v>14</v>
      </c>
      <c r="I60" s="12" t="s">
        <v>160</v>
      </c>
      <c r="J60" s="12" t="s">
        <v>324</v>
      </c>
      <c r="K60" s="15"/>
    </row>
    <row r="61" customHeight="1" spans="1:11">
      <c r="A61" s="4">
        <v>59</v>
      </c>
      <c r="B61" s="4">
        <v>2025</v>
      </c>
      <c r="C61" s="12">
        <v>8</v>
      </c>
      <c r="D61" s="12">
        <v>13</v>
      </c>
      <c r="E61" s="12" t="s">
        <v>325</v>
      </c>
      <c r="F61" s="16" t="str">
        <f>_xlfn.DISPIMG("ID_DBEDFA5485404C4EB3CACF23F0C83F86",1)</f>
        <v>=DISPIMG("ID_DBEDFA5485404C4EB3CACF23F0C83F86",1)</v>
      </c>
      <c r="G61" s="13" t="s">
        <v>262</v>
      </c>
      <c r="H61" s="12" t="s">
        <v>14</v>
      </c>
      <c r="I61" s="12" t="s">
        <v>22</v>
      </c>
      <c r="J61" s="12" t="s">
        <v>65</v>
      </c>
      <c r="K61" s="15"/>
    </row>
    <row r="62" customHeight="1" spans="1:11">
      <c r="A62" s="4">
        <v>60</v>
      </c>
      <c r="B62" s="4">
        <v>2025</v>
      </c>
      <c r="C62" s="12">
        <v>8</v>
      </c>
      <c r="D62" s="12">
        <v>14</v>
      </c>
      <c r="E62" s="12" t="s">
        <v>264</v>
      </c>
      <c r="F62" s="16" t="str">
        <f>_xlfn.DISPIMG("ID_71D48B0BE4E44433ABB558F7BF4FAF30",1)</f>
        <v>=DISPIMG("ID_71D48B0BE4E44433ABB558F7BF4FAF30",1)</v>
      </c>
      <c r="G62" s="13" t="s">
        <v>262</v>
      </c>
      <c r="H62" s="12" t="s">
        <v>26</v>
      </c>
      <c r="I62" s="12" t="s">
        <v>15</v>
      </c>
      <c r="J62" s="12" t="s">
        <v>34</v>
      </c>
      <c r="K62" s="15"/>
    </row>
    <row r="63" customHeight="1" spans="1:11">
      <c r="A63" s="4">
        <v>61</v>
      </c>
      <c r="B63" s="4">
        <v>2025</v>
      </c>
      <c r="C63" s="12">
        <v>8</v>
      </c>
      <c r="D63" s="12">
        <v>20</v>
      </c>
      <c r="E63" s="12" t="s">
        <v>326</v>
      </c>
      <c r="F63" s="16" t="str">
        <f>_xlfn.DISPIMG("ID_473954794D5542CF82E4704F9B95645D",1)</f>
        <v>=DISPIMG("ID_473954794D5542CF82E4704F9B95645D",1)</v>
      </c>
      <c r="G63" s="13" t="s">
        <v>262</v>
      </c>
      <c r="H63" s="12" t="s">
        <v>14</v>
      </c>
      <c r="I63" s="12" t="s">
        <v>24</v>
      </c>
      <c r="J63" s="12" t="s">
        <v>327</v>
      </c>
      <c r="K63" s="15"/>
    </row>
    <row r="64" customHeight="1" spans="1:11">
      <c r="A64" s="4">
        <v>62</v>
      </c>
      <c r="B64" s="4">
        <v>2025</v>
      </c>
      <c r="C64" s="4">
        <v>9</v>
      </c>
      <c r="D64" s="4">
        <v>1</v>
      </c>
      <c r="E64" s="12" t="s">
        <v>328</v>
      </c>
      <c r="F64" s="13" t="str">
        <f>_xlfn.DISPIMG("ID_38D4AEA0B3DF413F8F0DE0AFF7A585E4",1)</f>
        <v>=DISPIMG("ID_38D4AEA0B3DF413F8F0DE0AFF7A585E4",1)</v>
      </c>
      <c r="G64" s="13" t="s">
        <v>267</v>
      </c>
      <c r="H64" s="12" t="s">
        <v>14</v>
      </c>
      <c r="I64" s="12" t="s">
        <v>93</v>
      </c>
      <c r="J64" s="12" t="s">
        <v>282</v>
      </c>
      <c r="K64" s="15"/>
    </row>
    <row r="65" customHeight="1" spans="1:11">
      <c r="A65" s="4">
        <v>63</v>
      </c>
      <c r="B65" s="4">
        <v>2025</v>
      </c>
      <c r="C65" s="4">
        <v>9</v>
      </c>
      <c r="D65" s="4">
        <v>1</v>
      </c>
      <c r="E65" s="12" t="s">
        <v>329</v>
      </c>
      <c r="F65" s="12" t="str">
        <f>_xlfn.DISPIMG("ID_4EDA5C531ED64C5796BB6BF2B768E7CC",1)</f>
        <v>=DISPIMG("ID_4EDA5C531ED64C5796BB6BF2B768E7CC",1)</v>
      </c>
      <c r="G65" s="13" t="s">
        <v>267</v>
      </c>
      <c r="H65" s="12" t="s">
        <v>14</v>
      </c>
      <c r="I65" s="12" t="s">
        <v>19</v>
      </c>
      <c r="J65" s="12" t="s">
        <v>330</v>
      </c>
      <c r="K65" s="15"/>
    </row>
    <row r="66" customHeight="1" spans="1:11">
      <c r="A66" s="4">
        <v>64</v>
      </c>
      <c r="B66" s="4">
        <v>2025</v>
      </c>
      <c r="C66" s="12">
        <v>9</v>
      </c>
      <c r="D66" s="12">
        <v>7</v>
      </c>
      <c r="E66" s="12" t="s">
        <v>331</v>
      </c>
      <c r="F66" s="16" t="str">
        <f>_xlfn.DISPIMG("ID_AF32C8CECB4945498B47CBCDD5F2CF30",1)</f>
        <v>=DISPIMG("ID_AF32C8CECB4945498B47CBCDD5F2CF30",1)</v>
      </c>
      <c r="G66" s="13" t="s">
        <v>262</v>
      </c>
      <c r="H66" s="12" t="s">
        <v>26</v>
      </c>
      <c r="I66" s="12" t="s">
        <v>15</v>
      </c>
      <c r="J66" s="12" t="s">
        <v>107</v>
      </c>
      <c r="K66" s="15"/>
    </row>
    <row r="67" customHeight="1" spans="1:11">
      <c r="A67" s="4">
        <v>65</v>
      </c>
      <c r="B67" s="4">
        <v>2025</v>
      </c>
      <c r="C67" s="12">
        <v>9</v>
      </c>
      <c r="D67" s="12">
        <v>7</v>
      </c>
      <c r="E67" s="12" t="s">
        <v>17</v>
      </c>
      <c r="F67" s="16" t="str">
        <f>_xlfn.DISPIMG("ID_D19ECB5C00FD47D1822AD123FB868B89",1)</f>
        <v>=DISPIMG("ID_D19ECB5C00FD47D1822AD123FB868B89",1)</v>
      </c>
      <c r="G67" s="13" t="s">
        <v>262</v>
      </c>
      <c r="H67" s="12" t="s">
        <v>26</v>
      </c>
      <c r="I67" s="12" t="s">
        <v>15</v>
      </c>
      <c r="J67" s="12" t="s">
        <v>107</v>
      </c>
      <c r="K67" s="15"/>
    </row>
    <row r="68" customHeight="1" spans="1:11">
      <c r="A68" s="4">
        <v>66</v>
      </c>
      <c r="B68" s="4">
        <v>2025</v>
      </c>
      <c r="C68" s="12">
        <v>9</v>
      </c>
      <c r="D68" s="12">
        <v>15</v>
      </c>
      <c r="E68" s="12" t="s">
        <v>17</v>
      </c>
      <c r="F68" s="16" t="str">
        <f>_xlfn.DISPIMG("ID_D81B0AFC954749F7B3E02FC4CCF42DC1",1)</f>
        <v>=DISPIMG("ID_D81B0AFC954749F7B3E02FC4CCF42DC1",1)</v>
      </c>
      <c r="G68" s="13" t="s">
        <v>267</v>
      </c>
      <c r="H68" s="12" t="s">
        <v>14</v>
      </c>
      <c r="I68" s="12" t="s">
        <v>22</v>
      </c>
      <c r="J68" s="12" t="s">
        <v>65</v>
      </c>
      <c r="K68" s="15"/>
    </row>
    <row r="69" customHeight="1" spans="1:11">
      <c r="A69" s="4">
        <v>67</v>
      </c>
      <c r="B69" s="4">
        <v>2025</v>
      </c>
      <c r="C69" s="12">
        <v>9</v>
      </c>
      <c r="D69" s="12">
        <v>19</v>
      </c>
      <c r="E69" s="12" t="s">
        <v>17</v>
      </c>
      <c r="F69" s="16" t="str">
        <f>_xlfn.DISPIMG("ID_6752D32310EB4299B0A0E87E1AECDD0C",1)</f>
        <v>=DISPIMG("ID_6752D32310EB4299B0A0E87E1AECDD0C",1)</v>
      </c>
      <c r="G69" s="13" t="s">
        <v>262</v>
      </c>
      <c r="H69" s="12" t="s">
        <v>14</v>
      </c>
      <c r="I69" s="12" t="s">
        <v>19</v>
      </c>
      <c r="J69" s="12" t="s">
        <v>332</v>
      </c>
      <c r="K69" s="15"/>
    </row>
    <row r="70" customHeight="1" spans="1:11">
      <c r="A70" s="4">
        <v>68</v>
      </c>
      <c r="B70" s="4">
        <v>2025</v>
      </c>
      <c r="C70" s="12">
        <v>9</v>
      </c>
      <c r="D70" s="12">
        <v>24</v>
      </c>
      <c r="E70" s="12" t="s">
        <v>333</v>
      </c>
      <c r="F70" s="16" t="str">
        <f>_xlfn.DISPIMG("ID_B1F32B1FF1FD4E56947D2AAB6419670B",1)</f>
        <v>=DISPIMG("ID_B1F32B1FF1FD4E56947D2AAB6419670B",1)</v>
      </c>
      <c r="G70" s="13" t="s">
        <v>267</v>
      </c>
      <c r="H70" s="12" t="s">
        <v>14</v>
      </c>
      <c r="I70" s="12" t="s">
        <v>19</v>
      </c>
      <c r="J70" s="12" t="s">
        <v>334</v>
      </c>
      <c r="K70" s="15"/>
    </row>
    <row r="71" customHeight="1" spans="1:11">
      <c r="A71" s="4">
        <v>69</v>
      </c>
      <c r="B71" s="4">
        <v>2025</v>
      </c>
      <c r="C71" s="12">
        <v>9</v>
      </c>
      <c r="D71" s="12">
        <v>28</v>
      </c>
      <c r="E71" s="12" t="s">
        <v>335</v>
      </c>
      <c r="F71" s="16" t="str">
        <f>_xlfn.DISPIMG("ID_30F9E9692B3043BE8DF0451DD51F4DE8",1)</f>
        <v>=DISPIMG("ID_30F9E9692B3043BE8DF0451DD51F4DE8",1)</v>
      </c>
      <c r="G71" s="13" t="s">
        <v>305</v>
      </c>
      <c r="H71" s="12" t="s">
        <v>14</v>
      </c>
      <c r="I71" s="12" t="s">
        <v>22</v>
      </c>
      <c r="J71" s="12" t="s">
        <v>65</v>
      </c>
      <c r="K71" s="15"/>
    </row>
    <row r="72" customHeight="1" spans="1:11">
      <c r="A72" s="4">
        <v>70</v>
      </c>
      <c r="B72" s="4">
        <v>2025</v>
      </c>
      <c r="C72" s="4">
        <v>10</v>
      </c>
      <c r="D72" s="4">
        <v>2</v>
      </c>
      <c r="E72" s="12" t="s">
        <v>336</v>
      </c>
      <c r="F72" s="12" t="str">
        <f>_xlfn.DISPIMG("ID_01D38141BBF040B08EC43DF71C21B6C8",1)</f>
        <v>=DISPIMG("ID_01D38141BBF040B08EC43DF71C21B6C8",1)</v>
      </c>
      <c r="G72" s="13" t="s">
        <v>262</v>
      </c>
      <c r="H72" s="12" t="s">
        <v>14</v>
      </c>
      <c r="I72" s="12" t="s">
        <v>24</v>
      </c>
      <c r="J72" s="12" t="s">
        <v>337</v>
      </c>
      <c r="K72" s="15"/>
    </row>
    <row r="73" customHeight="1" spans="1:11">
      <c r="A73" s="4">
        <v>71</v>
      </c>
      <c r="B73" s="4">
        <v>2025</v>
      </c>
      <c r="C73" s="12">
        <v>10</v>
      </c>
      <c r="D73" s="12">
        <v>4</v>
      </c>
      <c r="E73" s="12" t="s">
        <v>338</v>
      </c>
      <c r="F73" s="16" t="str">
        <f>_xlfn.DISPIMG("ID_684D7AF927294DEBA3312E2FE1A39184",1)</f>
        <v>=DISPIMG("ID_684D7AF927294DEBA3312E2FE1A39184",1)</v>
      </c>
      <c r="G73" s="13" t="s">
        <v>262</v>
      </c>
      <c r="H73" s="12" t="s">
        <v>14</v>
      </c>
      <c r="I73" s="12" t="s">
        <v>22</v>
      </c>
      <c r="J73" s="12" t="s">
        <v>339</v>
      </c>
      <c r="K73" s="15"/>
    </row>
    <row r="74" customHeight="1" spans="1:11">
      <c r="A74" s="4">
        <v>72</v>
      </c>
      <c r="B74" s="4">
        <v>2025</v>
      </c>
      <c r="C74" s="12">
        <v>10</v>
      </c>
      <c r="D74" s="12">
        <v>9</v>
      </c>
      <c r="E74" s="12" t="s">
        <v>340</v>
      </c>
      <c r="F74" s="16" t="str">
        <f>_xlfn.DISPIMG("ID_6319ABDE43B147AAB0FC9649B9C80D37",1)</f>
        <v>=DISPIMG("ID_6319ABDE43B147AAB0FC9649B9C80D37",1)</v>
      </c>
      <c r="G74" s="13" t="s">
        <v>267</v>
      </c>
      <c r="H74" s="12" t="s">
        <v>14</v>
      </c>
      <c r="I74" s="12" t="s">
        <v>19</v>
      </c>
      <c r="J74" s="12" t="s">
        <v>341</v>
      </c>
      <c r="K74" s="15"/>
    </row>
    <row r="75" customHeight="1" spans="1:11">
      <c r="A75" s="4">
        <v>73</v>
      </c>
      <c r="B75" s="4">
        <v>2025</v>
      </c>
      <c r="C75" s="12">
        <v>10</v>
      </c>
      <c r="D75" s="12">
        <v>16</v>
      </c>
      <c r="E75" s="12" t="s">
        <v>342</v>
      </c>
      <c r="F75" s="16" t="str">
        <f>_xlfn.DISPIMG("ID_4E6A13D5B9B44B22AC493E1370695776",1)</f>
        <v>=DISPIMG("ID_4E6A13D5B9B44B22AC493E1370695776",1)</v>
      </c>
      <c r="G75" s="13" t="s">
        <v>262</v>
      </c>
      <c r="H75" s="12" t="s">
        <v>14</v>
      </c>
      <c r="I75" s="12" t="s">
        <v>93</v>
      </c>
      <c r="J75" s="12" t="s">
        <v>251</v>
      </c>
      <c r="K75" s="15"/>
    </row>
    <row r="76" customHeight="1" spans="1:11">
      <c r="A76" s="4">
        <v>74</v>
      </c>
      <c r="B76" s="4">
        <v>2025</v>
      </c>
      <c r="C76" s="12">
        <v>10</v>
      </c>
      <c r="D76" s="12">
        <v>19</v>
      </c>
      <c r="E76" s="12" t="s">
        <v>343</v>
      </c>
      <c r="F76" s="16" t="str">
        <f>_xlfn.DISPIMG("ID_BFD991C72476458BACD1CC8892D51DEC",1)</f>
        <v>=DISPIMG("ID_BFD991C72476458BACD1CC8892D51DEC",1)</v>
      </c>
      <c r="G76" s="13" t="s">
        <v>305</v>
      </c>
      <c r="H76" s="12" t="s">
        <v>14</v>
      </c>
      <c r="I76" s="12" t="s">
        <v>19</v>
      </c>
      <c r="J76" s="12" t="s">
        <v>183</v>
      </c>
      <c r="K76" s="15"/>
    </row>
    <row r="77" customHeight="1" spans="1:11">
      <c r="A77" s="4">
        <v>75</v>
      </c>
      <c r="B77" s="4">
        <v>2025</v>
      </c>
      <c r="C77" s="12">
        <v>10</v>
      </c>
      <c r="D77" s="12">
        <v>23</v>
      </c>
      <c r="E77" s="12" t="s">
        <v>344</v>
      </c>
      <c r="F77" s="16" t="str">
        <f>_xlfn.DISPIMG("ID_FB784FE404394FC9866CDF0DDBB56FB5",1)</f>
        <v>=DISPIMG("ID_FB784FE404394FC9866CDF0DDBB56FB5",1)</v>
      </c>
      <c r="G77" s="13" t="s">
        <v>267</v>
      </c>
      <c r="H77" s="12" t="s">
        <v>14</v>
      </c>
      <c r="I77" s="12" t="s">
        <v>22</v>
      </c>
      <c r="J77" s="12" t="s">
        <v>229</v>
      </c>
      <c r="K77" s="15"/>
    </row>
    <row r="78" customHeight="1" spans="1:11">
      <c r="A78" s="4">
        <v>76</v>
      </c>
      <c r="B78" s="4">
        <v>2025</v>
      </c>
      <c r="C78" s="12">
        <v>10</v>
      </c>
      <c r="D78" s="12">
        <v>24</v>
      </c>
      <c r="E78" s="12" t="s">
        <v>345</v>
      </c>
      <c r="F78" s="16" t="str">
        <f>_xlfn.DISPIMG("ID_79C69D09FDD640B28601F230E8FFA86F",1)</f>
        <v>=DISPIMG("ID_79C69D09FDD640B28601F230E8FFA86F",1)</v>
      </c>
      <c r="G78" s="13" t="s">
        <v>262</v>
      </c>
      <c r="H78" s="12" t="s">
        <v>14</v>
      </c>
      <c r="I78" s="12" t="s">
        <v>15</v>
      </c>
      <c r="J78" s="12" t="s">
        <v>346</v>
      </c>
      <c r="K78" s="15"/>
    </row>
    <row r="79" customHeight="1" spans="1:11">
      <c r="A79" s="4">
        <v>77</v>
      </c>
      <c r="B79" s="4">
        <v>2025</v>
      </c>
      <c r="C79" s="4">
        <v>10</v>
      </c>
      <c r="D79" s="4">
        <v>24</v>
      </c>
      <c r="E79" s="4" t="s">
        <v>347</v>
      </c>
      <c r="F79" s="4" t="str">
        <f>_xlfn.DISPIMG("ID_A78AD47AC98A4BCFA2D1669B2E4CBF37",1)</f>
        <v>=DISPIMG("ID_A78AD47AC98A4BCFA2D1669B2E4CBF37",1)</v>
      </c>
      <c r="G79" s="13" t="s">
        <v>267</v>
      </c>
      <c r="H79" s="4" t="s">
        <v>14</v>
      </c>
      <c r="I79" s="4" t="s">
        <v>93</v>
      </c>
      <c r="J79" s="4" t="s">
        <v>348</v>
      </c>
      <c r="K79" s="15"/>
    </row>
    <row r="80" customHeight="1" spans="1:11">
      <c r="A80" s="4">
        <v>78</v>
      </c>
      <c r="B80" s="4"/>
      <c r="C80" s="4"/>
      <c r="D80" s="4"/>
      <c r="E80" s="4" t="s">
        <v>17</v>
      </c>
      <c r="F80" s="4" t="str">
        <f>_xlfn.DISPIMG("ID_6FD69527B7F44B4E90E1E756EFE3747D",1)</f>
        <v>=DISPIMG("ID_6FD69527B7F44B4E90E1E756EFE3747D",1)</v>
      </c>
      <c r="G80" s="13" t="s">
        <v>262</v>
      </c>
      <c r="H80" s="4" t="s">
        <v>114</v>
      </c>
      <c r="I80" s="4" t="s">
        <v>250</v>
      </c>
      <c r="J80" s="4" t="s">
        <v>251</v>
      </c>
      <c r="K80" s="11" t="s">
        <v>235</v>
      </c>
    </row>
    <row r="81" customHeight="1" spans="1:11">
      <c r="A81" s="4">
        <v>79</v>
      </c>
      <c r="B81" s="4">
        <v>2021</v>
      </c>
      <c r="C81" s="4">
        <v>7</v>
      </c>
      <c r="D81" s="4">
        <v>25</v>
      </c>
      <c r="E81" s="4" t="s">
        <v>17</v>
      </c>
      <c r="F81" s="4" t="str">
        <f>_xlfn.DISPIMG("ID_4FF14E1FB9294AAA9A294E9F676E9513",1)</f>
        <v>=DISPIMG("ID_4FF14E1FB9294AAA9A294E9F676E9513",1)</v>
      </c>
      <c r="G81" s="13" t="s">
        <v>267</v>
      </c>
      <c r="H81" s="4" t="s">
        <v>114</v>
      </c>
      <c r="I81" s="4" t="s">
        <v>253</v>
      </c>
      <c r="J81" s="4" t="s">
        <v>254</v>
      </c>
      <c r="K81" s="15"/>
    </row>
    <row r="82" customHeight="1" spans="1:11">
      <c r="A82" s="4">
        <v>80</v>
      </c>
      <c r="B82" s="4"/>
      <c r="C82" s="4"/>
      <c r="D82" s="4"/>
      <c r="E82" s="4" t="s">
        <v>17</v>
      </c>
      <c r="F82" s="4" t="str">
        <f>_xlfn.DISPIMG("ID_0869BB7D84244930960A64F850477FD6",1)</f>
        <v>=DISPIMG("ID_0869BB7D84244930960A64F850477FD6",1)</v>
      </c>
      <c r="G82" s="13" t="s">
        <v>262</v>
      </c>
      <c r="H82" s="4" t="s">
        <v>114</v>
      </c>
      <c r="I82" s="4" t="s">
        <v>259</v>
      </c>
      <c r="J82" s="4" t="s">
        <v>66</v>
      </c>
      <c r="K82" s="11" t="s">
        <v>235</v>
      </c>
    </row>
  </sheetData>
  <mergeCells count="1">
    <mergeCell ref="A1:K1"/>
  </mergeCells>
  <dataValidations count="7">
    <dataValidation type="list" allowBlank="1" showInputMessage="1" showErrorMessage="1" sqref="I10 I50 I3:I4 I16:I17 I31:I32 I36:I40 I52:I53 I64:I67 I72:I73">
      <formula1>"古溪大队,派车所,塘坝大队,双江大队,城区大队,桂林大队,事故大队"</formula1>
    </dataValidation>
    <dataValidation type="list" allowBlank="1" showInputMessage="1" showErrorMessage="1" sqref="C16 C3:C4 C7:C9 C23:C31 C35:C37 C43:C50 C56:C60 C63:C65 C68:C72 C75:C79">
      <formula1>"1,2,3,4,5,6,7,8,9,10,11,12"</formula1>
    </dataValidation>
    <dataValidation type="list" allowBlank="1" showInputMessage="1" showErrorMessage="1" sqref="C10:C15">
      <formula1>"2"</formula1>
    </dataValidation>
    <dataValidation type="list" allowBlank="1" showInputMessage="1" showErrorMessage="1" sqref="D3:D4 D7:D16 D23:D31 D35:D37 D43:D50 D56:D60 D63:D65 D68:D72 D75:D79">
      <formula1>"1,2,3,4,5,6,7,8,9,10,11,12,13,14,15,16,17,18,19,20,21,22,23,24,25,26,27,28,29,30,31"</formula1>
    </dataValidation>
    <dataValidation allowBlank="1" showInputMessage="1" showErrorMessage="1" sqref="G3:G82"/>
    <dataValidation type="list" allowBlank="1" showInputMessage="1" showErrorMessage="1" sqref="H3:H50 H52:H79">
      <formula1>"高速路,报废车,事故车,违法车,涉案车,刑警队,派出所"</formula1>
    </dataValidation>
    <dataValidation type="list" allowBlank="1" showInputMessage="1" showErrorMessage="1" sqref="I5:I9 I11:I15 I18:I30 I33:I35 I41:I49 I54:I59 I61:I63 I68:I71 I74:I79">
      <formula1>"公安局,古溪大队,派车所,塘坝大队,双江大队,城区大队,桂林大队,事故大队"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4" sqref="$A4:$XFD1048576"/>
    </sheetView>
  </sheetViews>
  <sheetFormatPr defaultColWidth="9" defaultRowHeight="13.5" outlineLevelRow="2"/>
  <cols>
    <col min="4" max="4" width="7.875" customWidth="1"/>
    <col min="5" max="5" width="11.5083333333333" customWidth="1"/>
    <col min="8" max="8" width="10.875" customWidth="1"/>
    <col min="9" max="9" width="12.25" customWidth="1"/>
  </cols>
  <sheetData>
    <row r="1" ht="63" customHeight="1" spans="1:10">
      <c r="A1" s="1" t="s">
        <v>349</v>
      </c>
      <c r="B1" s="2"/>
      <c r="C1" s="2"/>
      <c r="D1" s="2"/>
      <c r="E1" s="2"/>
      <c r="F1" s="2"/>
      <c r="G1" s="2"/>
      <c r="H1" s="2"/>
      <c r="I1" s="2"/>
      <c r="J1" s="3"/>
    </row>
    <row r="2" ht="33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5" customHeight="1" spans="1:10">
      <c r="A3" s="4">
        <v>1</v>
      </c>
      <c r="B3" s="4">
        <v>2024</v>
      </c>
      <c r="C3" s="4">
        <v>2</v>
      </c>
      <c r="D3" s="4">
        <v>1</v>
      </c>
      <c r="E3" s="4" t="s">
        <v>350</v>
      </c>
      <c r="F3" s="4" t="str">
        <f>_xlfn.DISPIMG("ID_ECDF6F254FDB4785A71A879F807F27AE",1)</f>
        <v>=DISPIMG("ID_ECDF6F254FDB4785A71A879F807F27AE",1)</v>
      </c>
      <c r="G3" s="4" t="s">
        <v>351</v>
      </c>
      <c r="H3" s="4" t="s">
        <v>352</v>
      </c>
      <c r="I3" s="4" t="s">
        <v>246</v>
      </c>
      <c r="J3" s="4" t="s">
        <v>247</v>
      </c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2025年10月前暂扣燃油摩托车</vt:lpstr>
      <vt:lpstr>2025年10月前暂扣电动车</vt:lpstr>
      <vt:lpstr>2025年10月前暂扣小型汽车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123中心</cp:lastModifiedBy>
  <dcterms:created xsi:type="dcterms:W3CDTF">2023-05-12T11:15:00Z</dcterms:created>
  <dcterms:modified xsi:type="dcterms:W3CDTF">2026-04-15T07:40:48Z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380C9381F0724F9EA7B7BEA27DD3AEC9_13</vt:lpwstr>
  </property>
  <property fmtid="{D5CDD505-2E9C-101B-9397-08002B2CF9AE}" pid="4" name="CalculationRule">
    <vt:i4>0</vt:i4>
  </property>
</Properties>
</file>