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mc:AlternateContent xmlns:mc="http://schemas.openxmlformats.org/markup-compatibility/2006">
    <mc:Choice Requires="x15">
      <x15ac:absPath xmlns:x15ac="http://schemas.microsoft.com/office/spreadsheetml/2010/11/ac" url="E:\工作 重庆通力\20230504 重庆高速公路集团有限公司东北营运分公司隧道病害处治施工项目\对下招采\劳务招采\"/>
    </mc:Choice>
  </mc:AlternateContent>
  <xr:revisionPtr revIDLastSave="0" documentId="13_ncr:1_{6A20BF54-C77D-49FD-A7AF-F07B8665625D}" xr6:coauthVersionLast="47" xr6:coauthVersionMax="47" xr10:uidLastSave="{00000000-0000-0000-0000-000000000000}"/>
  <bookViews>
    <workbookView xWindow="-108" yWindow="-108" windowWidth="23256" windowHeight="12576" tabRatio="769" firstSheet="1" activeTab="1" xr2:uid="{00000000-000D-0000-FFFF-FFFF00000000}"/>
  </bookViews>
  <sheets>
    <sheet name="汇总表" sheetId="19" state="hidden" r:id="rId1"/>
    <sheet name="投标报价汇总表（合同包一）" sheetId="58" r:id="rId2"/>
    <sheet name="工程量清单1-分界梁" sheetId="44" r:id="rId3"/>
    <sheet name="工程量清单2-凤凰梁 " sheetId="45" r:id="rId4"/>
    <sheet name="工程量清单3-马垭口" sheetId="46" r:id="rId5"/>
    <sheet name="工程量清单4-红岩" sheetId="47" r:id="rId6"/>
    <sheet name="工程量清单5-王家坪" sheetId="48" r:id="rId7"/>
    <sheet name="工程量清单6-闵家" sheetId="49" r:id="rId8"/>
    <sheet name="工程量清单7-营盘包" sheetId="50" r:id="rId9"/>
    <sheet name="工程量清单8-孙家崖" sheetId="51" r:id="rId10"/>
    <sheet name="工程量清单9-奉云路" sheetId="55" r:id="rId11"/>
    <sheet name="工程量清单10-巫奉路" sheetId="56" r:id="rId12"/>
    <sheet name="工程量清单11-奉溪路" sheetId="57" r:id="rId13"/>
    <sheet name="配合比" sheetId="29" state="hidden" r:id="rId14"/>
    <sheet name="材料价格表" sheetId="43" state="hidden" r:id="rId15"/>
    <sheet name="间接费" sheetId="36" state="hidden" r:id="rId16"/>
    <sheet name="成测表2-6" sheetId="14" state="hidden" r:id="rId17"/>
    <sheet name="成测表3间接费" sheetId="25" state="hidden" r:id="rId18"/>
    <sheet name="税费" sheetId="26" state="hidden" r:id="rId19"/>
    <sheet name="税 费（项目部）" sheetId="35" state="hidden" r:id="rId20"/>
    <sheet name="税负测算(初次审核)" sheetId="31" state="hidden" r:id="rId21"/>
    <sheet name="200章" sheetId="8" state="hidden" r:id="rId22"/>
    <sheet name="400章" sheetId="7" state="hidden" r:id="rId23"/>
    <sheet name="500章" sheetId="30" state="hidden"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s>
  <definedNames>
    <definedName name="___________A65553" localSheetId="11">#REF!</definedName>
    <definedName name="___________A65553" localSheetId="12">#REF!</definedName>
    <definedName name="___________A65553" localSheetId="2">#REF!</definedName>
    <definedName name="___________A65553" localSheetId="3">#REF!</definedName>
    <definedName name="___________A65553" localSheetId="4">#REF!</definedName>
    <definedName name="___________A65553" localSheetId="5">#REF!</definedName>
    <definedName name="___________A65553" localSheetId="6">#REF!</definedName>
    <definedName name="___________A65553" localSheetId="7">#REF!</definedName>
    <definedName name="___________A65553" localSheetId="8">#REF!</definedName>
    <definedName name="___________A65553" localSheetId="9">#REF!</definedName>
    <definedName name="___________A65553" localSheetId="10">#REF!</definedName>
    <definedName name="___________A65553" localSheetId="15">#REF!</definedName>
    <definedName name="___________A65553">#REF!</definedName>
    <definedName name="___________A65554" localSheetId="11">#REF!</definedName>
    <definedName name="___________A65554" localSheetId="12">#REF!</definedName>
    <definedName name="___________A65554" localSheetId="2">#REF!</definedName>
    <definedName name="___________A65554" localSheetId="3">#REF!</definedName>
    <definedName name="___________A65554" localSheetId="4">#REF!</definedName>
    <definedName name="___________A65554" localSheetId="5">#REF!</definedName>
    <definedName name="___________A65554" localSheetId="6">#REF!</definedName>
    <definedName name="___________A65554" localSheetId="7">#REF!</definedName>
    <definedName name="___________A65554" localSheetId="8">#REF!</definedName>
    <definedName name="___________A65554" localSheetId="9">#REF!</definedName>
    <definedName name="___________A65554" localSheetId="10">#REF!</definedName>
    <definedName name="___________A65554" localSheetId="15">#REF!</definedName>
    <definedName name="___________A65554">#REF!</definedName>
    <definedName name="___________A66274" localSheetId="11">#REF!</definedName>
    <definedName name="___________A66274" localSheetId="12">#REF!</definedName>
    <definedName name="___________A66274" localSheetId="2">#REF!</definedName>
    <definedName name="___________A66274" localSheetId="3">#REF!</definedName>
    <definedName name="___________A66274" localSheetId="4">#REF!</definedName>
    <definedName name="___________A66274" localSheetId="5">#REF!</definedName>
    <definedName name="___________A66274" localSheetId="6">#REF!</definedName>
    <definedName name="___________A66274" localSheetId="7">#REF!</definedName>
    <definedName name="___________A66274" localSheetId="8">#REF!</definedName>
    <definedName name="___________A66274" localSheetId="9">#REF!</definedName>
    <definedName name="___________A66274" localSheetId="10">#REF!</definedName>
    <definedName name="___________A66274" localSheetId="15">#REF!</definedName>
    <definedName name="___________A66274">#REF!</definedName>
    <definedName name="___________A66553" localSheetId="11">#REF!</definedName>
    <definedName name="___________A66553" localSheetId="12">#REF!</definedName>
    <definedName name="___________A66553" localSheetId="2">#REF!</definedName>
    <definedName name="___________A66553" localSheetId="3">#REF!</definedName>
    <definedName name="___________A66553" localSheetId="4">#REF!</definedName>
    <definedName name="___________A66553" localSheetId="5">#REF!</definedName>
    <definedName name="___________A66553" localSheetId="6">#REF!</definedName>
    <definedName name="___________A66553" localSheetId="7">#REF!</definedName>
    <definedName name="___________A66553" localSheetId="8">#REF!</definedName>
    <definedName name="___________A66553" localSheetId="9">#REF!</definedName>
    <definedName name="___________A66553" localSheetId="10">#REF!</definedName>
    <definedName name="___________A66553" localSheetId="15">#REF!</definedName>
    <definedName name="___________A66553">#REF!</definedName>
    <definedName name="___________lsd1">[1]原报调整分录!$J$102:$J$298</definedName>
    <definedName name="__________A65553" localSheetId="11">#REF!</definedName>
    <definedName name="__________A65553" localSheetId="12">#REF!</definedName>
    <definedName name="__________A65553" localSheetId="2">#REF!</definedName>
    <definedName name="__________A65553" localSheetId="3">#REF!</definedName>
    <definedName name="__________A65553" localSheetId="4">#REF!</definedName>
    <definedName name="__________A65553" localSheetId="5">#REF!</definedName>
    <definedName name="__________A65553" localSheetId="6">#REF!</definedName>
    <definedName name="__________A65553" localSheetId="7">#REF!</definedName>
    <definedName name="__________A65553" localSheetId="8">#REF!</definedName>
    <definedName name="__________A65553" localSheetId="9">#REF!</definedName>
    <definedName name="__________A65553" localSheetId="10">#REF!</definedName>
    <definedName name="__________A65553" localSheetId="15">#REF!</definedName>
    <definedName name="__________A65553">#REF!</definedName>
    <definedName name="__________A65554" localSheetId="11">#REF!</definedName>
    <definedName name="__________A65554" localSheetId="12">#REF!</definedName>
    <definedName name="__________A65554" localSheetId="2">#REF!</definedName>
    <definedName name="__________A65554" localSheetId="3">#REF!</definedName>
    <definedName name="__________A65554" localSheetId="4">#REF!</definedName>
    <definedName name="__________A65554" localSheetId="5">#REF!</definedName>
    <definedName name="__________A65554" localSheetId="6">#REF!</definedName>
    <definedName name="__________A65554" localSheetId="7">#REF!</definedName>
    <definedName name="__________A65554" localSheetId="8">#REF!</definedName>
    <definedName name="__________A65554" localSheetId="9">#REF!</definedName>
    <definedName name="__________A65554" localSheetId="10">#REF!</definedName>
    <definedName name="__________A65554" localSheetId="15">#REF!</definedName>
    <definedName name="__________A65554">#REF!</definedName>
    <definedName name="__________A66274" localSheetId="11">#REF!</definedName>
    <definedName name="__________A66274" localSheetId="12">#REF!</definedName>
    <definedName name="__________A66274" localSheetId="2">#REF!</definedName>
    <definedName name="__________A66274" localSheetId="3">#REF!</definedName>
    <definedName name="__________A66274" localSheetId="4">#REF!</definedName>
    <definedName name="__________A66274" localSheetId="5">#REF!</definedName>
    <definedName name="__________A66274" localSheetId="6">#REF!</definedName>
    <definedName name="__________A66274" localSheetId="7">#REF!</definedName>
    <definedName name="__________A66274" localSheetId="8">#REF!</definedName>
    <definedName name="__________A66274" localSheetId="9">#REF!</definedName>
    <definedName name="__________A66274" localSheetId="10">#REF!</definedName>
    <definedName name="__________A66274" localSheetId="15">#REF!</definedName>
    <definedName name="__________A66274">#REF!</definedName>
    <definedName name="__________A66553" localSheetId="11">#REF!</definedName>
    <definedName name="__________A66553" localSheetId="12">#REF!</definedName>
    <definedName name="__________A66553" localSheetId="2">#REF!</definedName>
    <definedName name="__________A66553" localSheetId="3">#REF!</definedName>
    <definedName name="__________A66553" localSheetId="4">#REF!</definedName>
    <definedName name="__________A66553" localSheetId="5">#REF!</definedName>
    <definedName name="__________A66553" localSheetId="6">#REF!</definedName>
    <definedName name="__________A66553" localSheetId="7">#REF!</definedName>
    <definedName name="__________A66553" localSheetId="8">#REF!</definedName>
    <definedName name="__________A66553" localSheetId="9">#REF!</definedName>
    <definedName name="__________A66553" localSheetId="10">#REF!</definedName>
    <definedName name="__________A66553" localSheetId="15">#REF!</definedName>
    <definedName name="__________A66553">#REF!</definedName>
    <definedName name="__________lsd1">[1]原报调整分录!$J$102:$J$298</definedName>
    <definedName name="_________A65553" localSheetId="11">#REF!</definedName>
    <definedName name="_________A65553" localSheetId="12">#REF!</definedName>
    <definedName name="_________A65553" localSheetId="2">#REF!</definedName>
    <definedName name="_________A65553" localSheetId="3">#REF!</definedName>
    <definedName name="_________A65553" localSheetId="4">#REF!</definedName>
    <definedName name="_________A65553" localSheetId="5">#REF!</definedName>
    <definedName name="_________A65553" localSheetId="6">#REF!</definedName>
    <definedName name="_________A65553" localSheetId="7">#REF!</definedName>
    <definedName name="_________A65553" localSheetId="8">#REF!</definedName>
    <definedName name="_________A65553" localSheetId="9">#REF!</definedName>
    <definedName name="_________A65553" localSheetId="10">#REF!</definedName>
    <definedName name="_________A65553" localSheetId="15">#REF!</definedName>
    <definedName name="_________A65553">#REF!</definedName>
    <definedName name="_________A65554" localSheetId="11">#REF!</definedName>
    <definedName name="_________A65554" localSheetId="12">#REF!</definedName>
    <definedName name="_________A65554" localSheetId="2">#REF!</definedName>
    <definedName name="_________A65554" localSheetId="3">#REF!</definedName>
    <definedName name="_________A65554" localSheetId="4">#REF!</definedName>
    <definedName name="_________A65554" localSheetId="5">#REF!</definedName>
    <definedName name="_________A65554" localSheetId="6">#REF!</definedName>
    <definedName name="_________A65554" localSheetId="7">#REF!</definedName>
    <definedName name="_________A65554" localSheetId="8">#REF!</definedName>
    <definedName name="_________A65554" localSheetId="9">#REF!</definedName>
    <definedName name="_________A65554" localSheetId="10">#REF!</definedName>
    <definedName name="_________A65554" localSheetId="15">#REF!</definedName>
    <definedName name="_________A65554">#REF!</definedName>
    <definedName name="_________A66274" localSheetId="11">#REF!</definedName>
    <definedName name="_________A66274" localSheetId="12">#REF!</definedName>
    <definedName name="_________A66274" localSheetId="2">#REF!</definedName>
    <definedName name="_________A66274" localSheetId="3">#REF!</definedName>
    <definedName name="_________A66274" localSheetId="4">#REF!</definedName>
    <definedName name="_________A66274" localSheetId="5">#REF!</definedName>
    <definedName name="_________A66274" localSheetId="6">#REF!</definedName>
    <definedName name="_________A66274" localSheetId="7">#REF!</definedName>
    <definedName name="_________A66274" localSheetId="8">#REF!</definedName>
    <definedName name="_________A66274" localSheetId="9">#REF!</definedName>
    <definedName name="_________A66274" localSheetId="10">#REF!</definedName>
    <definedName name="_________A66274" localSheetId="15">#REF!</definedName>
    <definedName name="_________A66274">#REF!</definedName>
    <definedName name="_________A66553" localSheetId="11">#REF!</definedName>
    <definedName name="_________A66553" localSheetId="12">#REF!</definedName>
    <definedName name="_________A66553" localSheetId="2">#REF!</definedName>
    <definedName name="_________A66553" localSheetId="3">#REF!</definedName>
    <definedName name="_________A66553" localSheetId="4">#REF!</definedName>
    <definedName name="_________A66553" localSheetId="5">#REF!</definedName>
    <definedName name="_________A66553" localSheetId="6">#REF!</definedName>
    <definedName name="_________A66553" localSheetId="7">#REF!</definedName>
    <definedName name="_________A66553" localSheetId="8">#REF!</definedName>
    <definedName name="_________A66553" localSheetId="9">#REF!</definedName>
    <definedName name="_________A66553" localSheetId="10">#REF!</definedName>
    <definedName name="_________A66553" localSheetId="15">#REF!</definedName>
    <definedName name="_________A66553">#REF!</definedName>
    <definedName name="_________lsd1">[1]原报调整分录!$J$102:$J$298</definedName>
    <definedName name="________A65553" localSheetId="11">#REF!</definedName>
    <definedName name="________A65553" localSheetId="12">#REF!</definedName>
    <definedName name="________A65553" localSheetId="2">#REF!</definedName>
    <definedName name="________A65553" localSheetId="3">#REF!</definedName>
    <definedName name="________A65553" localSheetId="4">#REF!</definedName>
    <definedName name="________A65553" localSheetId="5">#REF!</definedName>
    <definedName name="________A65553" localSheetId="6">#REF!</definedName>
    <definedName name="________A65553" localSheetId="7">#REF!</definedName>
    <definedName name="________A65553" localSheetId="8">#REF!</definedName>
    <definedName name="________A65553" localSheetId="9">#REF!</definedName>
    <definedName name="________A65553" localSheetId="10">#REF!</definedName>
    <definedName name="________A65553" localSheetId="15">#REF!</definedName>
    <definedName name="________A65553">#REF!</definedName>
    <definedName name="________A65554" localSheetId="11">#REF!</definedName>
    <definedName name="________A65554" localSheetId="12">#REF!</definedName>
    <definedName name="________A65554" localSheetId="2">#REF!</definedName>
    <definedName name="________A65554" localSheetId="3">#REF!</definedName>
    <definedName name="________A65554" localSheetId="4">#REF!</definedName>
    <definedName name="________A65554" localSheetId="5">#REF!</definedName>
    <definedName name="________A65554" localSheetId="6">#REF!</definedName>
    <definedName name="________A65554" localSheetId="7">#REF!</definedName>
    <definedName name="________A65554" localSheetId="8">#REF!</definedName>
    <definedName name="________A65554" localSheetId="9">#REF!</definedName>
    <definedName name="________A65554" localSheetId="10">#REF!</definedName>
    <definedName name="________A65554" localSheetId="15">#REF!</definedName>
    <definedName name="________A65554">#REF!</definedName>
    <definedName name="________A66274" localSheetId="11">#REF!</definedName>
    <definedName name="________A66274" localSheetId="12">#REF!</definedName>
    <definedName name="________A66274" localSheetId="2">#REF!</definedName>
    <definedName name="________A66274" localSheetId="3">#REF!</definedName>
    <definedName name="________A66274" localSheetId="4">#REF!</definedName>
    <definedName name="________A66274" localSheetId="5">#REF!</definedName>
    <definedName name="________A66274" localSheetId="6">#REF!</definedName>
    <definedName name="________A66274" localSheetId="7">#REF!</definedName>
    <definedName name="________A66274" localSheetId="8">#REF!</definedName>
    <definedName name="________A66274" localSheetId="9">#REF!</definedName>
    <definedName name="________A66274" localSheetId="10">#REF!</definedName>
    <definedName name="________A66274" localSheetId="15">#REF!</definedName>
    <definedName name="________A66274">#REF!</definedName>
    <definedName name="________A66553" localSheetId="11">#REF!</definedName>
    <definedName name="________A66553" localSheetId="12">#REF!</definedName>
    <definedName name="________A66553" localSheetId="2">#REF!</definedName>
    <definedName name="________A66553" localSheetId="3">#REF!</definedName>
    <definedName name="________A66553" localSheetId="4">#REF!</definedName>
    <definedName name="________A66553" localSheetId="5">#REF!</definedName>
    <definedName name="________A66553" localSheetId="6">#REF!</definedName>
    <definedName name="________A66553" localSheetId="7">#REF!</definedName>
    <definedName name="________A66553" localSheetId="8">#REF!</definedName>
    <definedName name="________A66553" localSheetId="9">#REF!</definedName>
    <definedName name="________A66553" localSheetId="10">#REF!</definedName>
    <definedName name="________A66553" localSheetId="15">#REF!</definedName>
    <definedName name="________A66553">#REF!</definedName>
    <definedName name="________lsd1">[1]原报调整分录!$J$102:$J$298</definedName>
    <definedName name="_______A65553" localSheetId="11">#REF!</definedName>
    <definedName name="_______A65553" localSheetId="12">#REF!</definedName>
    <definedName name="_______A65553" localSheetId="2">#REF!</definedName>
    <definedName name="_______A65553" localSheetId="3">#REF!</definedName>
    <definedName name="_______A65553" localSheetId="4">#REF!</definedName>
    <definedName name="_______A65553" localSheetId="5">#REF!</definedName>
    <definedName name="_______A65553" localSheetId="6">#REF!</definedName>
    <definedName name="_______A65553" localSheetId="7">#REF!</definedName>
    <definedName name="_______A65553" localSheetId="8">#REF!</definedName>
    <definedName name="_______A65553" localSheetId="9">#REF!</definedName>
    <definedName name="_______A65553" localSheetId="10">#REF!</definedName>
    <definedName name="_______A65553" localSheetId="15">#REF!</definedName>
    <definedName name="_______A65553">#REF!</definedName>
    <definedName name="_______A65554" localSheetId="11">#REF!</definedName>
    <definedName name="_______A65554" localSheetId="12">#REF!</definedName>
    <definedName name="_______A65554" localSheetId="2">#REF!</definedName>
    <definedName name="_______A65554" localSheetId="3">#REF!</definedName>
    <definedName name="_______A65554" localSheetId="4">#REF!</definedName>
    <definedName name="_______A65554" localSheetId="5">#REF!</definedName>
    <definedName name="_______A65554" localSheetId="6">#REF!</definedName>
    <definedName name="_______A65554" localSheetId="7">#REF!</definedName>
    <definedName name="_______A65554" localSheetId="8">#REF!</definedName>
    <definedName name="_______A65554" localSheetId="9">#REF!</definedName>
    <definedName name="_______A65554" localSheetId="10">#REF!</definedName>
    <definedName name="_______A65554" localSheetId="15">#REF!</definedName>
    <definedName name="_______A65554">#REF!</definedName>
    <definedName name="_______A66274" localSheetId="11">#REF!</definedName>
    <definedName name="_______A66274" localSheetId="12">#REF!</definedName>
    <definedName name="_______A66274" localSheetId="2">#REF!</definedName>
    <definedName name="_______A66274" localSheetId="3">#REF!</definedName>
    <definedName name="_______A66274" localSheetId="4">#REF!</definedName>
    <definedName name="_______A66274" localSheetId="5">#REF!</definedName>
    <definedName name="_______A66274" localSheetId="6">#REF!</definedName>
    <definedName name="_______A66274" localSheetId="7">#REF!</definedName>
    <definedName name="_______A66274" localSheetId="8">#REF!</definedName>
    <definedName name="_______A66274" localSheetId="9">#REF!</definedName>
    <definedName name="_______A66274" localSheetId="10">#REF!</definedName>
    <definedName name="_______A66274" localSheetId="15">#REF!</definedName>
    <definedName name="_______A66274">#REF!</definedName>
    <definedName name="_______A66553" localSheetId="11">#REF!</definedName>
    <definedName name="_______A66553" localSheetId="12">#REF!</definedName>
    <definedName name="_______A66553" localSheetId="2">#REF!</definedName>
    <definedName name="_______A66553" localSheetId="3">#REF!</definedName>
    <definedName name="_______A66553" localSheetId="4">#REF!</definedName>
    <definedName name="_______A66553" localSheetId="5">#REF!</definedName>
    <definedName name="_______A66553" localSheetId="6">#REF!</definedName>
    <definedName name="_______A66553" localSheetId="7">#REF!</definedName>
    <definedName name="_______A66553" localSheetId="8">#REF!</definedName>
    <definedName name="_______A66553" localSheetId="9">#REF!</definedName>
    <definedName name="_______A66553" localSheetId="10">#REF!</definedName>
    <definedName name="_______A66553" localSheetId="15">#REF!</definedName>
    <definedName name="_______A66553">#REF!</definedName>
    <definedName name="_______lsd1">[1]原报调整分录!$J$102:$J$298</definedName>
    <definedName name="______A65553" localSheetId="11">#REF!</definedName>
    <definedName name="______A65553" localSheetId="12">#REF!</definedName>
    <definedName name="______A65553" localSheetId="2">#REF!</definedName>
    <definedName name="______A65553" localSheetId="3">#REF!</definedName>
    <definedName name="______A65553" localSheetId="4">#REF!</definedName>
    <definedName name="______A65553" localSheetId="5">#REF!</definedName>
    <definedName name="______A65553" localSheetId="6">#REF!</definedName>
    <definedName name="______A65553" localSheetId="7">#REF!</definedName>
    <definedName name="______A65553" localSheetId="8">#REF!</definedName>
    <definedName name="______A65553" localSheetId="9">#REF!</definedName>
    <definedName name="______A65553" localSheetId="10">#REF!</definedName>
    <definedName name="______A65553" localSheetId="15">#REF!</definedName>
    <definedName name="______A65553">#REF!</definedName>
    <definedName name="______A65554" localSheetId="11">#REF!</definedName>
    <definedName name="______A65554" localSheetId="12">#REF!</definedName>
    <definedName name="______A65554" localSheetId="2">#REF!</definedName>
    <definedName name="______A65554" localSheetId="3">#REF!</definedName>
    <definedName name="______A65554" localSheetId="4">#REF!</definedName>
    <definedName name="______A65554" localSheetId="5">#REF!</definedName>
    <definedName name="______A65554" localSheetId="6">#REF!</definedName>
    <definedName name="______A65554" localSheetId="7">#REF!</definedName>
    <definedName name="______A65554" localSheetId="8">#REF!</definedName>
    <definedName name="______A65554" localSheetId="9">#REF!</definedName>
    <definedName name="______A65554" localSheetId="10">#REF!</definedName>
    <definedName name="______A65554" localSheetId="15">#REF!</definedName>
    <definedName name="______A65554">#REF!</definedName>
    <definedName name="______A66274" localSheetId="11">#REF!</definedName>
    <definedName name="______A66274" localSheetId="12">#REF!</definedName>
    <definedName name="______A66274" localSheetId="2">#REF!</definedName>
    <definedName name="______A66274" localSheetId="3">#REF!</definedName>
    <definedName name="______A66274" localSheetId="4">#REF!</definedName>
    <definedName name="______A66274" localSheetId="5">#REF!</definedName>
    <definedName name="______A66274" localSheetId="6">#REF!</definedName>
    <definedName name="______A66274" localSheetId="7">#REF!</definedName>
    <definedName name="______A66274" localSheetId="8">#REF!</definedName>
    <definedName name="______A66274" localSheetId="9">#REF!</definedName>
    <definedName name="______A66274" localSheetId="10">#REF!</definedName>
    <definedName name="______A66274" localSheetId="15">#REF!</definedName>
    <definedName name="______A66274">#REF!</definedName>
    <definedName name="______A66553" localSheetId="11">#REF!</definedName>
    <definedName name="______A66553" localSheetId="12">#REF!</definedName>
    <definedName name="______A66553" localSheetId="2">#REF!</definedName>
    <definedName name="______A66553" localSheetId="3">#REF!</definedName>
    <definedName name="______A66553" localSheetId="4">#REF!</definedName>
    <definedName name="______A66553" localSheetId="5">#REF!</definedName>
    <definedName name="______A66553" localSheetId="6">#REF!</definedName>
    <definedName name="______A66553" localSheetId="7">#REF!</definedName>
    <definedName name="______A66553" localSheetId="8">#REF!</definedName>
    <definedName name="______A66553" localSheetId="9">#REF!</definedName>
    <definedName name="______A66553" localSheetId="10">#REF!</definedName>
    <definedName name="______A66553" localSheetId="15">#REF!</definedName>
    <definedName name="______A66553">#REF!</definedName>
    <definedName name="______lsd1">[1]原报调整分录!$J$102:$J$298</definedName>
    <definedName name="_____A65553" localSheetId="11">#REF!</definedName>
    <definedName name="_____A65553" localSheetId="12">#REF!</definedName>
    <definedName name="_____A65553" localSheetId="2">#REF!</definedName>
    <definedName name="_____A65553" localSheetId="3">#REF!</definedName>
    <definedName name="_____A65553" localSheetId="4">#REF!</definedName>
    <definedName name="_____A65553" localSheetId="5">#REF!</definedName>
    <definedName name="_____A65553" localSheetId="6">#REF!</definedName>
    <definedName name="_____A65553" localSheetId="7">#REF!</definedName>
    <definedName name="_____A65553" localSheetId="8">#REF!</definedName>
    <definedName name="_____A65553" localSheetId="9">#REF!</definedName>
    <definedName name="_____A65553" localSheetId="10">#REF!</definedName>
    <definedName name="_____A65553" localSheetId="15">#REF!</definedName>
    <definedName name="_____A65553">#REF!</definedName>
    <definedName name="_____A65554" localSheetId="11">#REF!</definedName>
    <definedName name="_____A65554" localSheetId="12">#REF!</definedName>
    <definedName name="_____A65554" localSheetId="2">#REF!</definedName>
    <definedName name="_____A65554" localSheetId="3">#REF!</definedName>
    <definedName name="_____A65554" localSheetId="4">#REF!</definedName>
    <definedName name="_____A65554" localSheetId="5">#REF!</definedName>
    <definedName name="_____A65554" localSheetId="6">#REF!</definedName>
    <definedName name="_____A65554" localSheetId="7">#REF!</definedName>
    <definedName name="_____A65554" localSheetId="8">#REF!</definedName>
    <definedName name="_____A65554" localSheetId="9">#REF!</definedName>
    <definedName name="_____A65554" localSheetId="10">#REF!</definedName>
    <definedName name="_____A65554" localSheetId="15">#REF!</definedName>
    <definedName name="_____A65554">#REF!</definedName>
    <definedName name="_____A66274" localSheetId="11">#REF!</definedName>
    <definedName name="_____A66274" localSheetId="12">#REF!</definedName>
    <definedName name="_____A66274" localSheetId="2">#REF!</definedName>
    <definedName name="_____A66274" localSheetId="3">#REF!</definedName>
    <definedName name="_____A66274" localSheetId="4">#REF!</definedName>
    <definedName name="_____A66274" localSheetId="5">#REF!</definedName>
    <definedName name="_____A66274" localSheetId="6">#REF!</definedName>
    <definedName name="_____A66274" localSheetId="7">#REF!</definedName>
    <definedName name="_____A66274" localSheetId="8">#REF!</definedName>
    <definedName name="_____A66274" localSheetId="9">#REF!</definedName>
    <definedName name="_____A66274" localSheetId="10">#REF!</definedName>
    <definedName name="_____A66274" localSheetId="15">#REF!</definedName>
    <definedName name="_____A66274">#REF!</definedName>
    <definedName name="_____A66553" localSheetId="11">#REF!</definedName>
    <definedName name="_____A66553" localSheetId="12">#REF!</definedName>
    <definedName name="_____A66553" localSheetId="2">#REF!</definedName>
    <definedName name="_____A66553" localSheetId="3">#REF!</definedName>
    <definedName name="_____A66553" localSheetId="4">#REF!</definedName>
    <definedName name="_____A66553" localSheetId="5">#REF!</definedName>
    <definedName name="_____A66553" localSheetId="6">#REF!</definedName>
    <definedName name="_____A66553" localSheetId="7">#REF!</definedName>
    <definedName name="_____A66553" localSheetId="8">#REF!</definedName>
    <definedName name="_____A66553" localSheetId="9">#REF!</definedName>
    <definedName name="_____A66553" localSheetId="10">#REF!</definedName>
    <definedName name="_____A66553" localSheetId="15">#REF!</definedName>
    <definedName name="_____A66553">#REF!</definedName>
    <definedName name="_____lsd1">[1]原报调整分录!$J$102:$J$298</definedName>
    <definedName name="____A65553" localSheetId="11">#REF!</definedName>
    <definedName name="____A65553" localSheetId="12">#REF!</definedName>
    <definedName name="____A65553" localSheetId="2">#REF!</definedName>
    <definedName name="____A65553" localSheetId="3">#REF!</definedName>
    <definedName name="____A65553" localSheetId="4">#REF!</definedName>
    <definedName name="____A65553" localSheetId="5">#REF!</definedName>
    <definedName name="____A65553" localSheetId="6">#REF!</definedName>
    <definedName name="____A65553" localSheetId="7">#REF!</definedName>
    <definedName name="____A65553" localSheetId="8">#REF!</definedName>
    <definedName name="____A65553" localSheetId="9">#REF!</definedName>
    <definedName name="____A65553" localSheetId="10">#REF!</definedName>
    <definedName name="____A65553" localSheetId="15">#REF!</definedName>
    <definedName name="____A65553">#REF!</definedName>
    <definedName name="____A65554" localSheetId="11">#REF!</definedName>
    <definedName name="____A65554" localSheetId="12">#REF!</definedName>
    <definedName name="____A65554" localSheetId="2">#REF!</definedName>
    <definedName name="____A65554" localSheetId="3">#REF!</definedName>
    <definedName name="____A65554" localSheetId="4">#REF!</definedName>
    <definedName name="____A65554" localSheetId="5">#REF!</definedName>
    <definedName name="____A65554" localSheetId="6">#REF!</definedName>
    <definedName name="____A65554" localSheetId="7">#REF!</definedName>
    <definedName name="____A65554" localSheetId="8">#REF!</definedName>
    <definedName name="____A65554" localSheetId="9">#REF!</definedName>
    <definedName name="____A65554" localSheetId="10">#REF!</definedName>
    <definedName name="____A65554" localSheetId="15">#REF!</definedName>
    <definedName name="____A65554">#REF!</definedName>
    <definedName name="____A66274" localSheetId="11">#REF!</definedName>
    <definedName name="____A66274" localSheetId="12">#REF!</definedName>
    <definedName name="____A66274" localSheetId="2">#REF!</definedName>
    <definedName name="____A66274" localSheetId="3">#REF!</definedName>
    <definedName name="____A66274" localSheetId="4">#REF!</definedName>
    <definedName name="____A66274" localSheetId="5">#REF!</definedName>
    <definedName name="____A66274" localSheetId="6">#REF!</definedName>
    <definedName name="____A66274" localSheetId="7">#REF!</definedName>
    <definedName name="____A66274" localSheetId="8">#REF!</definedName>
    <definedName name="____A66274" localSheetId="9">#REF!</definedName>
    <definedName name="____A66274" localSheetId="10">#REF!</definedName>
    <definedName name="____A66274" localSheetId="15">#REF!</definedName>
    <definedName name="____A66274">#REF!</definedName>
    <definedName name="____A66553" localSheetId="11">#REF!</definedName>
    <definedName name="____A66553" localSheetId="12">#REF!</definedName>
    <definedName name="____A66553" localSheetId="2">#REF!</definedName>
    <definedName name="____A66553" localSheetId="3">#REF!</definedName>
    <definedName name="____A66553" localSheetId="4">#REF!</definedName>
    <definedName name="____A66553" localSheetId="5">#REF!</definedName>
    <definedName name="____A66553" localSheetId="6">#REF!</definedName>
    <definedName name="____A66553" localSheetId="7">#REF!</definedName>
    <definedName name="____A66553" localSheetId="8">#REF!</definedName>
    <definedName name="____A66553" localSheetId="9">#REF!</definedName>
    <definedName name="____A66553" localSheetId="10">#REF!</definedName>
    <definedName name="____A66553" localSheetId="15">#REF!</definedName>
    <definedName name="____A66553">#REF!</definedName>
    <definedName name="____lsd1">[1]原报调整分录!$J$102:$J$298</definedName>
    <definedName name="___A65553" localSheetId="11">#REF!</definedName>
    <definedName name="___A65553" localSheetId="12">#REF!</definedName>
    <definedName name="___A65553" localSheetId="2">#REF!</definedName>
    <definedName name="___A65553" localSheetId="3">#REF!</definedName>
    <definedName name="___A65553" localSheetId="4">#REF!</definedName>
    <definedName name="___A65553" localSheetId="5">#REF!</definedName>
    <definedName name="___A65553" localSheetId="6">#REF!</definedName>
    <definedName name="___A65553" localSheetId="7">#REF!</definedName>
    <definedName name="___A65553" localSheetId="8">#REF!</definedName>
    <definedName name="___A65553" localSheetId="9">#REF!</definedName>
    <definedName name="___A65553" localSheetId="10">#REF!</definedName>
    <definedName name="___A65553" localSheetId="15">#REF!</definedName>
    <definedName name="___A65553">#REF!</definedName>
    <definedName name="___A65554" localSheetId="11">#REF!</definedName>
    <definedName name="___A65554" localSheetId="12">#REF!</definedName>
    <definedName name="___A65554" localSheetId="2">#REF!</definedName>
    <definedName name="___A65554" localSheetId="3">#REF!</definedName>
    <definedName name="___A65554" localSheetId="4">#REF!</definedName>
    <definedName name="___A65554" localSheetId="5">#REF!</definedName>
    <definedName name="___A65554" localSheetId="6">#REF!</definedName>
    <definedName name="___A65554" localSheetId="7">#REF!</definedName>
    <definedName name="___A65554" localSheetId="8">#REF!</definedName>
    <definedName name="___A65554" localSheetId="9">#REF!</definedName>
    <definedName name="___A65554" localSheetId="10">#REF!</definedName>
    <definedName name="___A65554" localSheetId="15">#REF!</definedName>
    <definedName name="___A65554">#REF!</definedName>
    <definedName name="___A66274" localSheetId="11">#REF!</definedName>
    <definedName name="___A66274" localSheetId="12">#REF!</definedName>
    <definedName name="___A66274" localSheetId="2">#REF!</definedName>
    <definedName name="___A66274" localSheetId="3">#REF!</definedName>
    <definedName name="___A66274" localSheetId="4">#REF!</definedName>
    <definedName name="___A66274" localSheetId="5">#REF!</definedName>
    <definedName name="___A66274" localSheetId="6">#REF!</definedName>
    <definedName name="___A66274" localSheetId="7">#REF!</definedName>
    <definedName name="___A66274" localSheetId="8">#REF!</definedName>
    <definedName name="___A66274" localSheetId="9">#REF!</definedName>
    <definedName name="___A66274" localSheetId="10">#REF!</definedName>
    <definedName name="___A66274" localSheetId="15">#REF!</definedName>
    <definedName name="___A66274">#REF!</definedName>
    <definedName name="___A66553" localSheetId="11">#REF!</definedName>
    <definedName name="___A66553" localSheetId="12">#REF!</definedName>
    <definedName name="___A66553" localSheetId="2">#REF!</definedName>
    <definedName name="___A66553" localSheetId="3">#REF!</definedName>
    <definedName name="___A66553" localSheetId="4">#REF!</definedName>
    <definedName name="___A66553" localSheetId="5">#REF!</definedName>
    <definedName name="___A66553" localSheetId="6">#REF!</definedName>
    <definedName name="___A66553" localSheetId="7">#REF!</definedName>
    <definedName name="___A66553" localSheetId="8">#REF!</definedName>
    <definedName name="___A66553" localSheetId="9">#REF!</definedName>
    <definedName name="___A66553" localSheetId="10">#REF!</definedName>
    <definedName name="___A66553" localSheetId="15">#REF!</definedName>
    <definedName name="___A66553">#REF!</definedName>
    <definedName name="___lsd1">[1]原报调整分录!$J$102:$J$298</definedName>
    <definedName name="___PA7" localSheetId="11">'[2]SW-TEO'!#REF!</definedName>
    <definedName name="___PA7" localSheetId="12">'[2]SW-TEO'!#REF!</definedName>
    <definedName name="___PA7" localSheetId="2">'[2]SW-TEO'!#REF!</definedName>
    <definedName name="___PA7" localSheetId="3">'[2]SW-TEO'!#REF!</definedName>
    <definedName name="___PA7" localSheetId="4">'[2]SW-TEO'!#REF!</definedName>
    <definedName name="___PA7" localSheetId="5">'[2]SW-TEO'!#REF!</definedName>
    <definedName name="___PA7" localSheetId="6">'[2]SW-TEO'!#REF!</definedName>
    <definedName name="___PA7" localSheetId="7">'[2]SW-TEO'!#REF!</definedName>
    <definedName name="___PA7" localSheetId="8">'[2]SW-TEO'!#REF!</definedName>
    <definedName name="___PA7" localSheetId="9">'[2]SW-TEO'!#REF!</definedName>
    <definedName name="___PA7" localSheetId="10">'[2]SW-TEO'!#REF!</definedName>
    <definedName name="___PA7" localSheetId="0">'[2]SW-TEO'!#REF!</definedName>
    <definedName name="___PA7">'[2]SW-TEO'!#REF!</definedName>
    <definedName name="___PA8" localSheetId="11">'[2]SW-TEO'!#REF!</definedName>
    <definedName name="___PA8" localSheetId="12">'[2]SW-TEO'!#REF!</definedName>
    <definedName name="___PA8" localSheetId="2">'[2]SW-TEO'!#REF!</definedName>
    <definedName name="___PA8" localSheetId="3">'[2]SW-TEO'!#REF!</definedName>
    <definedName name="___PA8" localSheetId="4">'[2]SW-TEO'!#REF!</definedName>
    <definedName name="___PA8" localSheetId="5">'[2]SW-TEO'!#REF!</definedName>
    <definedName name="___PA8" localSheetId="6">'[2]SW-TEO'!#REF!</definedName>
    <definedName name="___PA8" localSheetId="7">'[2]SW-TEO'!#REF!</definedName>
    <definedName name="___PA8" localSheetId="8">'[2]SW-TEO'!#REF!</definedName>
    <definedName name="___PA8" localSheetId="9">'[2]SW-TEO'!#REF!</definedName>
    <definedName name="___PA8" localSheetId="10">'[2]SW-TEO'!#REF!</definedName>
    <definedName name="___PA8" localSheetId="0">'[2]SW-TEO'!#REF!</definedName>
    <definedName name="___PA8">'[2]SW-TEO'!#REF!</definedName>
    <definedName name="___PD1" localSheetId="11">'[2]SW-TEO'!#REF!</definedName>
    <definedName name="___PD1" localSheetId="12">'[2]SW-TEO'!#REF!</definedName>
    <definedName name="___PD1" localSheetId="2">'[2]SW-TEO'!#REF!</definedName>
    <definedName name="___PD1" localSheetId="3">'[2]SW-TEO'!#REF!</definedName>
    <definedName name="___PD1" localSheetId="4">'[2]SW-TEO'!#REF!</definedName>
    <definedName name="___PD1" localSheetId="5">'[2]SW-TEO'!#REF!</definedName>
    <definedName name="___PD1" localSheetId="6">'[2]SW-TEO'!#REF!</definedName>
    <definedName name="___PD1" localSheetId="7">'[2]SW-TEO'!#REF!</definedName>
    <definedName name="___PD1" localSheetId="8">'[2]SW-TEO'!#REF!</definedName>
    <definedName name="___PD1" localSheetId="9">'[2]SW-TEO'!#REF!</definedName>
    <definedName name="___PD1" localSheetId="10">'[2]SW-TEO'!#REF!</definedName>
    <definedName name="___PD1" localSheetId="0">'[2]SW-TEO'!#REF!</definedName>
    <definedName name="___PD1">'[2]SW-TEO'!#REF!</definedName>
    <definedName name="___PE12" localSheetId="11">'[2]SW-TEO'!#REF!</definedName>
    <definedName name="___PE12" localSheetId="12">'[2]SW-TEO'!#REF!</definedName>
    <definedName name="___PE12" localSheetId="2">'[2]SW-TEO'!#REF!</definedName>
    <definedName name="___PE12" localSheetId="3">'[2]SW-TEO'!#REF!</definedName>
    <definedName name="___PE12" localSheetId="4">'[2]SW-TEO'!#REF!</definedName>
    <definedName name="___PE12" localSheetId="5">'[2]SW-TEO'!#REF!</definedName>
    <definedName name="___PE12" localSheetId="6">'[2]SW-TEO'!#REF!</definedName>
    <definedName name="___PE12" localSheetId="7">'[2]SW-TEO'!#REF!</definedName>
    <definedName name="___PE12" localSheetId="8">'[2]SW-TEO'!#REF!</definedName>
    <definedName name="___PE12" localSheetId="9">'[2]SW-TEO'!#REF!</definedName>
    <definedName name="___PE12" localSheetId="10">'[2]SW-TEO'!#REF!</definedName>
    <definedName name="___PE12" localSheetId="0">'[2]SW-TEO'!#REF!</definedName>
    <definedName name="___PE12">'[2]SW-TEO'!#REF!</definedName>
    <definedName name="___PE13" localSheetId="11">'[2]SW-TEO'!#REF!</definedName>
    <definedName name="___PE13" localSheetId="12">'[2]SW-TEO'!#REF!</definedName>
    <definedName name="___PE13" localSheetId="2">'[2]SW-TEO'!#REF!</definedName>
    <definedName name="___PE13" localSheetId="3">'[2]SW-TEO'!#REF!</definedName>
    <definedName name="___PE13" localSheetId="4">'[2]SW-TEO'!#REF!</definedName>
    <definedName name="___PE13" localSheetId="5">'[2]SW-TEO'!#REF!</definedName>
    <definedName name="___PE13" localSheetId="6">'[2]SW-TEO'!#REF!</definedName>
    <definedName name="___PE13" localSheetId="7">'[2]SW-TEO'!#REF!</definedName>
    <definedName name="___PE13" localSheetId="8">'[2]SW-TEO'!#REF!</definedName>
    <definedName name="___PE13" localSheetId="9">'[2]SW-TEO'!#REF!</definedName>
    <definedName name="___PE13" localSheetId="10">'[2]SW-TEO'!#REF!</definedName>
    <definedName name="___PE13" localSheetId="0">'[2]SW-TEO'!#REF!</definedName>
    <definedName name="___PE13">'[2]SW-TEO'!#REF!</definedName>
    <definedName name="___PE6" localSheetId="11">'[2]SW-TEO'!#REF!</definedName>
    <definedName name="___PE6" localSheetId="12">'[2]SW-TEO'!#REF!</definedName>
    <definedName name="___PE6" localSheetId="2">'[2]SW-TEO'!#REF!</definedName>
    <definedName name="___PE6" localSheetId="3">'[2]SW-TEO'!#REF!</definedName>
    <definedName name="___PE6" localSheetId="4">'[2]SW-TEO'!#REF!</definedName>
    <definedName name="___PE6" localSheetId="5">'[2]SW-TEO'!#REF!</definedName>
    <definedName name="___PE6" localSheetId="6">'[2]SW-TEO'!#REF!</definedName>
    <definedName name="___PE6" localSheetId="7">'[2]SW-TEO'!#REF!</definedName>
    <definedName name="___PE6" localSheetId="8">'[2]SW-TEO'!#REF!</definedName>
    <definedName name="___PE6" localSheetId="9">'[2]SW-TEO'!#REF!</definedName>
    <definedName name="___PE6" localSheetId="10">'[2]SW-TEO'!#REF!</definedName>
    <definedName name="___PE6" localSheetId="0">'[2]SW-TEO'!#REF!</definedName>
    <definedName name="___PE6">'[2]SW-TEO'!#REF!</definedName>
    <definedName name="___PE7" localSheetId="11">'[2]SW-TEO'!#REF!</definedName>
    <definedName name="___PE7" localSheetId="12">'[2]SW-TEO'!#REF!</definedName>
    <definedName name="___PE7" localSheetId="2">'[2]SW-TEO'!#REF!</definedName>
    <definedName name="___PE7" localSheetId="3">'[2]SW-TEO'!#REF!</definedName>
    <definedName name="___PE7" localSheetId="4">'[2]SW-TEO'!#REF!</definedName>
    <definedName name="___PE7" localSheetId="5">'[2]SW-TEO'!#REF!</definedName>
    <definedName name="___PE7" localSheetId="6">'[2]SW-TEO'!#REF!</definedName>
    <definedName name="___PE7" localSheetId="7">'[2]SW-TEO'!#REF!</definedName>
    <definedName name="___PE7" localSheetId="8">'[2]SW-TEO'!#REF!</definedName>
    <definedName name="___PE7" localSheetId="9">'[2]SW-TEO'!#REF!</definedName>
    <definedName name="___PE7" localSheetId="10">'[2]SW-TEO'!#REF!</definedName>
    <definedName name="___PE7" localSheetId="0">'[2]SW-TEO'!#REF!</definedName>
    <definedName name="___PE7">'[2]SW-TEO'!#REF!</definedName>
    <definedName name="___PE8" localSheetId="11">'[2]SW-TEO'!#REF!</definedName>
    <definedName name="___PE8" localSheetId="12">'[2]SW-TEO'!#REF!</definedName>
    <definedName name="___PE8" localSheetId="2">'[2]SW-TEO'!#REF!</definedName>
    <definedName name="___PE8" localSheetId="3">'[2]SW-TEO'!#REF!</definedName>
    <definedName name="___PE8" localSheetId="4">'[2]SW-TEO'!#REF!</definedName>
    <definedName name="___PE8" localSheetId="5">'[2]SW-TEO'!#REF!</definedName>
    <definedName name="___PE8" localSheetId="6">'[2]SW-TEO'!#REF!</definedName>
    <definedName name="___PE8" localSheetId="7">'[2]SW-TEO'!#REF!</definedName>
    <definedName name="___PE8" localSheetId="8">'[2]SW-TEO'!#REF!</definedName>
    <definedName name="___PE8" localSheetId="9">'[2]SW-TEO'!#REF!</definedName>
    <definedName name="___PE8" localSheetId="10">'[2]SW-TEO'!#REF!</definedName>
    <definedName name="___PE8" localSheetId="0">'[2]SW-TEO'!#REF!</definedName>
    <definedName name="___PE8">'[2]SW-TEO'!#REF!</definedName>
    <definedName name="___PE9" localSheetId="11">'[2]SW-TEO'!#REF!</definedName>
    <definedName name="___PE9" localSheetId="12">'[2]SW-TEO'!#REF!</definedName>
    <definedName name="___PE9" localSheetId="2">'[2]SW-TEO'!#REF!</definedName>
    <definedName name="___PE9" localSheetId="3">'[2]SW-TEO'!#REF!</definedName>
    <definedName name="___PE9" localSheetId="4">'[2]SW-TEO'!#REF!</definedName>
    <definedName name="___PE9" localSheetId="5">'[2]SW-TEO'!#REF!</definedName>
    <definedName name="___PE9" localSheetId="6">'[2]SW-TEO'!#REF!</definedName>
    <definedName name="___PE9" localSheetId="7">'[2]SW-TEO'!#REF!</definedName>
    <definedName name="___PE9" localSheetId="8">'[2]SW-TEO'!#REF!</definedName>
    <definedName name="___PE9" localSheetId="9">'[2]SW-TEO'!#REF!</definedName>
    <definedName name="___PE9" localSheetId="10">'[2]SW-TEO'!#REF!</definedName>
    <definedName name="___PE9" localSheetId="0">'[2]SW-TEO'!#REF!</definedName>
    <definedName name="___PE9">'[2]SW-TEO'!#REF!</definedName>
    <definedName name="___PH1" localSheetId="11">'[2]SW-TEO'!#REF!</definedName>
    <definedName name="___PH1" localSheetId="12">'[2]SW-TEO'!#REF!</definedName>
    <definedName name="___PH1" localSheetId="2">'[2]SW-TEO'!#REF!</definedName>
    <definedName name="___PH1" localSheetId="3">'[2]SW-TEO'!#REF!</definedName>
    <definedName name="___PH1" localSheetId="4">'[2]SW-TEO'!#REF!</definedName>
    <definedName name="___PH1" localSheetId="5">'[2]SW-TEO'!#REF!</definedName>
    <definedName name="___PH1" localSheetId="6">'[2]SW-TEO'!#REF!</definedName>
    <definedName name="___PH1" localSheetId="7">'[2]SW-TEO'!#REF!</definedName>
    <definedName name="___PH1" localSheetId="8">'[2]SW-TEO'!#REF!</definedName>
    <definedName name="___PH1" localSheetId="9">'[2]SW-TEO'!#REF!</definedName>
    <definedName name="___PH1" localSheetId="10">'[2]SW-TEO'!#REF!</definedName>
    <definedName name="___PH1" localSheetId="0">'[2]SW-TEO'!#REF!</definedName>
    <definedName name="___PH1">'[2]SW-TEO'!#REF!</definedName>
    <definedName name="___PI1" localSheetId="11">'[2]SW-TEO'!#REF!</definedName>
    <definedName name="___PI1" localSheetId="12">'[2]SW-TEO'!#REF!</definedName>
    <definedName name="___PI1" localSheetId="2">'[2]SW-TEO'!#REF!</definedName>
    <definedName name="___PI1" localSheetId="3">'[2]SW-TEO'!#REF!</definedName>
    <definedName name="___PI1" localSheetId="4">'[2]SW-TEO'!#REF!</definedName>
    <definedName name="___PI1" localSheetId="5">'[2]SW-TEO'!#REF!</definedName>
    <definedName name="___PI1" localSheetId="6">'[2]SW-TEO'!#REF!</definedName>
    <definedName name="___PI1" localSheetId="7">'[2]SW-TEO'!#REF!</definedName>
    <definedName name="___PI1" localSheetId="8">'[2]SW-TEO'!#REF!</definedName>
    <definedName name="___PI1" localSheetId="9">'[2]SW-TEO'!#REF!</definedName>
    <definedName name="___PI1" localSheetId="10">'[2]SW-TEO'!#REF!</definedName>
    <definedName name="___PI1" localSheetId="0">'[2]SW-TEO'!#REF!</definedName>
    <definedName name="___PI1">'[2]SW-TEO'!#REF!</definedName>
    <definedName name="___PK1" localSheetId="11">'[2]SW-TEO'!#REF!</definedName>
    <definedName name="___PK1" localSheetId="12">'[2]SW-TEO'!#REF!</definedName>
    <definedName name="___PK1" localSheetId="2">'[2]SW-TEO'!#REF!</definedName>
    <definedName name="___PK1" localSheetId="3">'[2]SW-TEO'!#REF!</definedName>
    <definedName name="___PK1" localSheetId="4">'[2]SW-TEO'!#REF!</definedName>
    <definedName name="___PK1" localSheetId="5">'[2]SW-TEO'!#REF!</definedName>
    <definedName name="___PK1" localSheetId="6">'[2]SW-TEO'!#REF!</definedName>
    <definedName name="___PK1" localSheetId="7">'[2]SW-TEO'!#REF!</definedName>
    <definedName name="___PK1" localSheetId="8">'[2]SW-TEO'!#REF!</definedName>
    <definedName name="___PK1" localSheetId="9">'[2]SW-TEO'!#REF!</definedName>
    <definedName name="___PK1" localSheetId="10">'[2]SW-TEO'!#REF!</definedName>
    <definedName name="___PK1" localSheetId="0">'[2]SW-TEO'!#REF!</definedName>
    <definedName name="___PK1">'[2]SW-TEO'!#REF!</definedName>
    <definedName name="___PK3" localSheetId="11">'[2]SW-TEO'!#REF!</definedName>
    <definedName name="___PK3" localSheetId="12">'[2]SW-TEO'!#REF!</definedName>
    <definedName name="___PK3" localSheetId="2">'[2]SW-TEO'!#REF!</definedName>
    <definedName name="___PK3" localSheetId="3">'[2]SW-TEO'!#REF!</definedName>
    <definedName name="___PK3" localSheetId="4">'[2]SW-TEO'!#REF!</definedName>
    <definedName name="___PK3" localSheetId="5">'[2]SW-TEO'!#REF!</definedName>
    <definedName name="___PK3" localSheetId="6">'[2]SW-TEO'!#REF!</definedName>
    <definedName name="___PK3" localSheetId="7">'[2]SW-TEO'!#REF!</definedName>
    <definedName name="___PK3" localSheetId="8">'[2]SW-TEO'!#REF!</definedName>
    <definedName name="___PK3" localSheetId="9">'[2]SW-TEO'!#REF!</definedName>
    <definedName name="___PK3" localSheetId="10">'[2]SW-TEO'!#REF!</definedName>
    <definedName name="___PK3" localSheetId="0">'[2]SW-TEO'!#REF!</definedName>
    <definedName name="___PK3">'[2]SW-TEO'!#REF!</definedName>
    <definedName name="__A65553" localSheetId="11">#REF!</definedName>
    <definedName name="__A65553" localSheetId="12">#REF!</definedName>
    <definedName name="__A65553" localSheetId="2">#REF!</definedName>
    <definedName name="__A65553" localSheetId="3">#REF!</definedName>
    <definedName name="__A65553" localSheetId="4">#REF!</definedName>
    <definedName name="__A65553" localSheetId="5">#REF!</definedName>
    <definedName name="__A65553" localSheetId="6">#REF!</definedName>
    <definedName name="__A65553" localSheetId="7">#REF!</definedName>
    <definedName name="__A65553" localSheetId="8">#REF!</definedName>
    <definedName name="__A65553" localSheetId="9">#REF!</definedName>
    <definedName name="__A65553" localSheetId="10">#REF!</definedName>
    <definedName name="__A65553" localSheetId="15">#REF!</definedName>
    <definedName name="__A65553">#REF!</definedName>
    <definedName name="__A65554" localSheetId="11">#REF!</definedName>
    <definedName name="__A65554" localSheetId="12">#REF!</definedName>
    <definedName name="__A65554" localSheetId="2">#REF!</definedName>
    <definedName name="__A65554" localSheetId="3">#REF!</definedName>
    <definedName name="__A65554" localSheetId="4">#REF!</definedName>
    <definedName name="__A65554" localSheetId="5">#REF!</definedName>
    <definedName name="__A65554" localSheetId="6">#REF!</definedName>
    <definedName name="__A65554" localSheetId="7">#REF!</definedName>
    <definedName name="__A65554" localSheetId="8">#REF!</definedName>
    <definedName name="__A65554" localSheetId="9">#REF!</definedName>
    <definedName name="__A65554" localSheetId="10">#REF!</definedName>
    <definedName name="__A65554" localSheetId="15">#REF!</definedName>
    <definedName name="__A65554">#REF!</definedName>
    <definedName name="__A66274" localSheetId="11">#REF!</definedName>
    <definedName name="__A66274" localSheetId="12">#REF!</definedName>
    <definedName name="__A66274" localSheetId="2">#REF!</definedName>
    <definedName name="__A66274" localSheetId="3">#REF!</definedName>
    <definedName name="__A66274" localSheetId="4">#REF!</definedName>
    <definedName name="__A66274" localSheetId="5">#REF!</definedName>
    <definedName name="__A66274" localSheetId="6">#REF!</definedName>
    <definedName name="__A66274" localSheetId="7">#REF!</definedName>
    <definedName name="__A66274" localSheetId="8">#REF!</definedName>
    <definedName name="__A66274" localSheetId="9">#REF!</definedName>
    <definedName name="__A66274" localSheetId="10">#REF!</definedName>
    <definedName name="__A66274" localSheetId="15">#REF!</definedName>
    <definedName name="__A66274">#REF!</definedName>
    <definedName name="__A66553" localSheetId="11">#REF!</definedName>
    <definedName name="__A66553" localSheetId="12">#REF!</definedName>
    <definedName name="__A66553" localSheetId="2">#REF!</definedName>
    <definedName name="__A66553" localSheetId="3">#REF!</definedName>
    <definedName name="__A66553" localSheetId="4">#REF!</definedName>
    <definedName name="__A66553" localSheetId="5">#REF!</definedName>
    <definedName name="__A66553" localSheetId="6">#REF!</definedName>
    <definedName name="__A66553" localSheetId="7">#REF!</definedName>
    <definedName name="__A66553" localSheetId="8">#REF!</definedName>
    <definedName name="__A66553" localSheetId="9">#REF!</definedName>
    <definedName name="__A66553" localSheetId="10">#REF!</definedName>
    <definedName name="__A66553" localSheetId="15">#REF!</definedName>
    <definedName name="__A66553">#REF!</definedName>
    <definedName name="__lsd1">[1]原报调整分录!$J$102:$J$298</definedName>
    <definedName name="__PA7" localSheetId="11">'[3]SW-TEO'!#REF!</definedName>
    <definedName name="__PA7" localSheetId="12">'[3]SW-TEO'!#REF!</definedName>
    <definedName name="__PA7" localSheetId="2">'[3]SW-TEO'!#REF!</definedName>
    <definedName name="__PA7" localSheetId="3">'[3]SW-TEO'!#REF!</definedName>
    <definedName name="__PA7" localSheetId="4">'[3]SW-TEO'!#REF!</definedName>
    <definedName name="__PA7" localSheetId="5">'[3]SW-TEO'!#REF!</definedName>
    <definedName name="__PA7" localSheetId="6">'[3]SW-TEO'!#REF!</definedName>
    <definedName name="__PA7" localSheetId="7">'[3]SW-TEO'!#REF!</definedName>
    <definedName name="__PA7" localSheetId="8">'[3]SW-TEO'!#REF!</definedName>
    <definedName name="__PA7" localSheetId="9">'[3]SW-TEO'!#REF!</definedName>
    <definedName name="__PA7" localSheetId="10">'[3]SW-TEO'!#REF!</definedName>
    <definedName name="__PA7" localSheetId="0">'[4]SW-TEO'!#REF!</definedName>
    <definedName name="__PA7">'[3]SW-TEO'!#REF!</definedName>
    <definedName name="__PA8" localSheetId="11">'[3]SW-TEO'!#REF!</definedName>
    <definedName name="__PA8" localSheetId="12">'[3]SW-TEO'!#REF!</definedName>
    <definedName name="__PA8" localSheetId="2">'[3]SW-TEO'!#REF!</definedName>
    <definedName name="__PA8" localSheetId="3">'[3]SW-TEO'!#REF!</definedName>
    <definedName name="__PA8" localSheetId="4">'[3]SW-TEO'!#REF!</definedName>
    <definedName name="__PA8" localSheetId="5">'[3]SW-TEO'!#REF!</definedName>
    <definedName name="__PA8" localSheetId="6">'[3]SW-TEO'!#REF!</definedName>
    <definedName name="__PA8" localSheetId="7">'[3]SW-TEO'!#REF!</definedName>
    <definedName name="__PA8" localSheetId="8">'[3]SW-TEO'!#REF!</definedName>
    <definedName name="__PA8" localSheetId="9">'[3]SW-TEO'!#REF!</definedName>
    <definedName name="__PA8" localSheetId="10">'[3]SW-TEO'!#REF!</definedName>
    <definedName name="__PA8" localSheetId="0">'[4]SW-TEO'!#REF!</definedName>
    <definedName name="__PA8">'[3]SW-TEO'!#REF!</definedName>
    <definedName name="__PD1" localSheetId="11">'[3]SW-TEO'!#REF!</definedName>
    <definedName name="__PD1" localSheetId="12">'[3]SW-TEO'!#REF!</definedName>
    <definedName name="__PD1" localSheetId="2">'[3]SW-TEO'!#REF!</definedName>
    <definedName name="__PD1" localSheetId="3">'[3]SW-TEO'!#REF!</definedName>
    <definedName name="__PD1" localSheetId="4">'[3]SW-TEO'!#REF!</definedName>
    <definedName name="__PD1" localSheetId="5">'[3]SW-TEO'!#REF!</definedName>
    <definedName name="__PD1" localSheetId="6">'[3]SW-TEO'!#REF!</definedName>
    <definedName name="__PD1" localSheetId="7">'[3]SW-TEO'!#REF!</definedName>
    <definedName name="__PD1" localSheetId="8">'[3]SW-TEO'!#REF!</definedName>
    <definedName name="__PD1" localSheetId="9">'[3]SW-TEO'!#REF!</definedName>
    <definedName name="__PD1" localSheetId="10">'[3]SW-TEO'!#REF!</definedName>
    <definedName name="__PD1" localSheetId="0">'[4]SW-TEO'!#REF!</definedName>
    <definedName name="__PD1">'[3]SW-TEO'!#REF!</definedName>
    <definedName name="__PE12" localSheetId="11">'[3]SW-TEO'!#REF!</definedName>
    <definedName name="__PE12" localSheetId="12">'[3]SW-TEO'!#REF!</definedName>
    <definedName name="__PE12" localSheetId="2">'[3]SW-TEO'!#REF!</definedName>
    <definedName name="__PE12" localSheetId="3">'[3]SW-TEO'!#REF!</definedName>
    <definedName name="__PE12" localSheetId="4">'[3]SW-TEO'!#REF!</definedName>
    <definedName name="__PE12" localSheetId="5">'[3]SW-TEO'!#REF!</definedName>
    <definedName name="__PE12" localSheetId="6">'[3]SW-TEO'!#REF!</definedName>
    <definedName name="__PE12" localSheetId="7">'[3]SW-TEO'!#REF!</definedName>
    <definedName name="__PE12" localSheetId="8">'[3]SW-TEO'!#REF!</definedName>
    <definedName name="__PE12" localSheetId="9">'[3]SW-TEO'!#REF!</definedName>
    <definedName name="__PE12" localSheetId="10">'[3]SW-TEO'!#REF!</definedName>
    <definedName name="__PE12" localSheetId="0">'[4]SW-TEO'!#REF!</definedName>
    <definedName name="__PE12">'[3]SW-TEO'!#REF!</definedName>
    <definedName name="__PE13" localSheetId="11">'[3]SW-TEO'!#REF!</definedName>
    <definedName name="__PE13" localSheetId="12">'[3]SW-TEO'!#REF!</definedName>
    <definedName name="__PE13" localSheetId="2">'[3]SW-TEO'!#REF!</definedName>
    <definedName name="__PE13" localSheetId="3">'[3]SW-TEO'!#REF!</definedName>
    <definedName name="__PE13" localSheetId="4">'[3]SW-TEO'!#REF!</definedName>
    <definedName name="__PE13" localSheetId="5">'[3]SW-TEO'!#REF!</definedName>
    <definedName name="__PE13" localSheetId="6">'[3]SW-TEO'!#REF!</definedName>
    <definedName name="__PE13" localSheetId="7">'[3]SW-TEO'!#REF!</definedName>
    <definedName name="__PE13" localSheetId="8">'[3]SW-TEO'!#REF!</definedName>
    <definedName name="__PE13" localSheetId="9">'[3]SW-TEO'!#REF!</definedName>
    <definedName name="__PE13" localSheetId="10">'[3]SW-TEO'!#REF!</definedName>
    <definedName name="__PE13" localSheetId="0">'[4]SW-TEO'!#REF!</definedName>
    <definedName name="__PE13">'[3]SW-TEO'!#REF!</definedName>
    <definedName name="__PE6" localSheetId="11">'[3]SW-TEO'!#REF!</definedName>
    <definedName name="__PE6" localSheetId="12">'[3]SW-TEO'!#REF!</definedName>
    <definedName name="__PE6" localSheetId="2">'[3]SW-TEO'!#REF!</definedName>
    <definedName name="__PE6" localSheetId="3">'[3]SW-TEO'!#REF!</definedName>
    <definedName name="__PE6" localSheetId="4">'[3]SW-TEO'!#REF!</definedName>
    <definedName name="__PE6" localSheetId="5">'[3]SW-TEO'!#REF!</definedName>
    <definedName name="__PE6" localSheetId="6">'[3]SW-TEO'!#REF!</definedName>
    <definedName name="__PE6" localSheetId="7">'[3]SW-TEO'!#REF!</definedName>
    <definedName name="__PE6" localSheetId="8">'[3]SW-TEO'!#REF!</definedName>
    <definedName name="__PE6" localSheetId="9">'[3]SW-TEO'!#REF!</definedName>
    <definedName name="__PE6" localSheetId="10">'[3]SW-TEO'!#REF!</definedName>
    <definedName name="__PE6" localSheetId="0">'[4]SW-TEO'!#REF!</definedName>
    <definedName name="__PE6">'[3]SW-TEO'!#REF!</definedName>
    <definedName name="__PE7" localSheetId="11">'[3]SW-TEO'!#REF!</definedName>
    <definedName name="__PE7" localSheetId="12">'[3]SW-TEO'!#REF!</definedName>
    <definedName name="__PE7" localSheetId="2">'[3]SW-TEO'!#REF!</definedName>
    <definedName name="__PE7" localSheetId="3">'[3]SW-TEO'!#REF!</definedName>
    <definedName name="__PE7" localSheetId="4">'[3]SW-TEO'!#REF!</definedName>
    <definedName name="__PE7" localSheetId="5">'[3]SW-TEO'!#REF!</definedName>
    <definedName name="__PE7" localSheetId="6">'[3]SW-TEO'!#REF!</definedName>
    <definedName name="__PE7" localSheetId="7">'[3]SW-TEO'!#REF!</definedName>
    <definedName name="__PE7" localSheetId="8">'[3]SW-TEO'!#REF!</definedName>
    <definedName name="__PE7" localSheetId="9">'[3]SW-TEO'!#REF!</definedName>
    <definedName name="__PE7" localSheetId="10">'[3]SW-TEO'!#REF!</definedName>
    <definedName name="__PE7" localSheetId="0">'[4]SW-TEO'!#REF!</definedName>
    <definedName name="__PE7">'[3]SW-TEO'!#REF!</definedName>
    <definedName name="__PE8" localSheetId="11">'[3]SW-TEO'!#REF!</definedName>
    <definedName name="__PE8" localSheetId="12">'[3]SW-TEO'!#REF!</definedName>
    <definedName name="__PE8" localSheetId="2">'[3]SW-TEO'!#REF!</definedName>
    <definedName name="__PE8" localSheetId="3">'[3]SW-TEO'!#REF!</definedName>
    <definedName name="__PE8" localSheetId="4">'[3]SW-TEO'!#REF!</definedName>
    <definedName name="__PE8" localSheetId="5">'[3]SW-TEO'!#REF!</definedName>
    <definedName name="__PE8" localSheetId="6">'[3]SW-TEO'!#REF!</definedName>
    <definedName name="__PE8" localSheetId="7">'[3]SW-TEO'!#REF!</definedName>
    <definedName name="__PE8" localSheetId="8">'[3]SW-TEO'!#REF!</definedName>
    <definedName name="__PE8" localSheetId="9">'[3]SW-TEO'!#REF!</definedName>
    <definedName name="__PE8" localSheetId="10">'[3]SW-TEO'!#REF!</definedName>
    <definedName name="__PE8" localSheetId="0">'[4]SW-TEO'!#REF!</definedName>
    <definedName name="__PE8">'[3]SW-TEO'!#REF!</definedName>
    <definedName name="__PE9" localSheetId="11">'[3]SW-TEO'!#REF!</definedName>
    <definedName name="__PE9" localSheetId="12">'[3]SW-TEO'!#REF!</definedName>
    <definedName name="__PE9" localSheetId="2">'[3]SW-TEO'!#REF!</definedName>
    <definedName name="__PE9" localSheetId="3">'[3]SW-TEO'!#REF!</definedName>
    <definedName name="__PE9" localSheetId="4">'[3]SW-TEO'!#REF!</definedName>
    <definedName name="__PE9" localSheetId="5">'[3]SW-TEO'!#REF!</definedName>
    <definedName name="__PE9" localSheetId="6">'[3]SW-TEO'!#REF!</definedName>
    <definedName name="__PE9" localSheetId="7">'[3]SW-TEO'!#REF!</definedName>
    <definedName name="__PE9" localSheetId="8">'[3]SW-TEO'!#REF!</definedName>
    <definedName name="__PE9" localSheetId="9">'[3]SW-TEO'!#REF!</definedName>
    <definedName name="__PE9" localSheetId="10">'[3]SW-TEO'!#REF!</definedName>
    <definedName name="__PE9" localSheetId="0">'[4]SW-TEO'!#REF!</definedName>
    <definedName name="__PE9">'[3]SW-TEO'!#REF!</definedName>
    <definedName name="__PH1" localSheetId="11">'[3]SW-TEO'!#REF!</definedName>
    <definedName name="__PH1" localSheetId="12">'[3]SW-TEO'!#REF!</definedName>
    <definedName name="__PH1" localSheetId="2">'[3]SW-TEO'!#REF!</definedName>
    <definedName name="__PH1" localSheetId="3">'[3]SW-TEO'!#REF!</definedName>
    <definedName name="__PH1" localSheetId="4">'[3]SW-TEO'!#REF!</definedName>
    <definedName name="__PH1" localSheetId="5">'[3]SW-TEO'!#REF!</definedName>
    <definedName name="__PH1" localSheetId="6">'[3]SW-TEO'!#REF!</definedName>
    <definedName name="__PH1" localSheetId="7">'[3]SW-TEO'!#REF!</definedName>
    <definedName name="__PH1" localSheetId="8">'[3]SW-TEO'!#REF!</definedName>
    <definedName name="__PH1" localSheetId="9">'[3]SW-TEO'!#REF!</definedName>
    <definedName name="__PH1" localSheetId="10">'[3]SW-TEO'!#REF!</definedName>
    <definedName name="__PH1" localSheetId="0">'[4]SW-TEO'!#REF!</definedName>
    <definedName name="__PH1">'[3]SW-TEO'!#REF!</definedName>
    <definedName name="__PI1" localSheetId="11">'[3]SW-TEO'!#REF!</definedName>
    <definedName name="__PI1" localSheetId="12">'[3]SW-TEO'!#REF!</definedName>
    <definedName name="__PI1" localSheetId="2">'[3]SW-TEO'!#REF!</definedName>
    <definedName name="__PI1" localSheetId="3">'[3]SW-TEO'!#REF!</definedName>
    <definedName name="__PI1" localSheetId="4">'[3]SW-TEO'!#REF!</definedName>
    <definedName name="__PI1" localSheetId="5">'[3]SW-TEO'!#REF!</definedName>
    <definedName name="__PI1" localSheetId="6">'[3]SW-TEO'!#REF!</definedName>
    <definedName name="__PI1" localSheetId="7">'[3]SW-TEO'!#REF!</definedName>
    <definedName name="__PI1" localSheetId="8">'[3]SW-TEO'!#REF!</definedName>
    <definedName name="__PI1" localSheetId="9">'[3]SW-TEO'!#REF!</definedName>
    <definedName name="__PI1" localSheetId="10">'[3]SW-TEO'!#REF!</definedName>
    <definedName name="__PI1" localSheetId="0">'[4]SW-TEO'!#REF!</definedName>
    <definedName name="__PI1">'[3]SW-TEO'!#REF!</definedName>
    <definedName name="__PK1" localSheetId="11">'[3]SW-TEO'!#REF!</definedName>
    <definedName name="__PK1" localSheetId="12">'[3]SW-TEO'!#REF!</definedName>
    <definedName name="__PK1" localSheetId="2">'[3]SW-TEO'!#REF!</definedName>
    <definedName name="__PK1" localSheetId="3">'[3]SW-TEO'!#REF!</definedName>
    <definedName name="__PK1" localSheetId="4">'[3]SW-TEO'!#REF!</definedName>
    <definedName name="__PK1" localSheetId="5">'[3]SW-TEO'!#REF!</definedName>
    <definedName name="__PK1" localSheetId="6">'[3]SW-TEO'!#REF!</definedName>
    <definedName name="__PK1" localSheetId="7">'[3]SW-TEO'!#REF!</definedName>
    <definedName name="__PK1" localSheetId="8">'[3]SW-TEO'!#REF!</definedName>
    <definedName name="__PK1" localSheetId="9">'[3]SW-TEO'!#REF!</definedName>
    <definedName name="__PK1" localSheetId="10">'[3]SW-TEO'!#REF!</definedName>
    <definedName name="__PK1" localSheetId="0">'[4]SW-TEO'!#REF!</definedName>
    <definedName name="__PK1">'[3]SW-TEO'!#REF!</definedName>
    <definedName name="__PK3" localSheetId="11">'[3]SW-TEO'!#REF!</definedName>
    <definedName name="__PK3" localSheetId="12">'[3]SW-TEO'!#REF!</definedName>
    <definedName name="__PK3" localSheetId="2">'[3]SW-TEO'!#REF!</definedName>
    <definedName name="__PK3" localSheetId="3">'[3]SW-TEO'!#REF!</definedName>
    <definedName name="__PK3" localSheetId="4">'[3]SW-TEO'!#REF!</definedName>
    <definedName name="__PK3" localSheetId="5">'[3]SW-TEO'!#REF!</definedName>
    <definedName name="__PK3" localSheetId="6">'[3]SW-TEO'!#REF!</definedName>
    <definedName name="__PK3" localSheetId="7">'[3]SW-TEO'!#REF!</definedName>
    <definedName name="__PK3" localSheetId="8">'[3]SW-TEO'!#REF!</definedName>
    <definedName name="__PK3" localSheetId="9">'[3]SW-TEO'!#REF!</definedName>
    <definedName name="__PK3" localSheetId="10">'[3]SW-TEO'!#REF!</definedName>
    <definedName name="__PK3" localSheetId="0">'[4]SW-TEO'!#REF!</definedName>
    <definedName name="__PK3">'[3]SW-TEO'!#REF!</definedName>
    <definedName name="_21114" localSheetId="11">#REF!</definedName>
    <definedName name="_21114" localSheetId="12">#REF!</definedName>
    <definedName name="_21114" localSheetId="2">#REF!</definedName>
    <definedName name="_21114" localSheetId="3">#REF!</definedName>
    <definedName name="_21114" localSheetId="4">#REF!</definedName>
    <definedName name="_21114" localSheetId="5">#REF!</definedName>
    <definedName name="_21114" localSheetId="6">#REF!</definedName>
    <definedName name="_21114" localSheetId="7">#REF!</definedName>
    <definedName name="_21114" localSheetId="8">#REF!</definedName>
    <definedName name="_21114" localSheetId="9">#REF!</definedName>
    <definedName name="_21114" localSheetId="10">#REF!</definedName>
    <definedName name="_21114" localSheetId="0">#REF!</definedName>
    <definedName name="_21114" localSheetId="15">#REF!</definedName>
    <definedName name="_21114">#REF!</definedName>
    <definedName name="_A65553" localSheetId="11">#REF!</definedName>
    <definedName name="_A65553" localSheetId="12">#REF!</definedName>
    <definedName name="_A65553" localSheetId="2">#REF!</definedName>
    <definedName name="_A65553" localSheetId="3">#REF!</definedName>
    <definedName name="_A65553" localSheetId="4">#REF!</definedName>
    <definedName name="_A65553" localSheetId="5">#REF!</definedName>
    <definedName name="_A65553" localSheetId="6">#REF!</definedName>
    <definedName name="_A65553" localSheetId="7">#REF!</definedName>
    <definedName name="_A65553" localSheetId="8">#REF!</definedName>
    <definedName name="_A65553" localSheetId="9">#REF!</definedName>
    <definedName name="_A65553" localSheetId="10">#REF!</definedName>
    <definedName name="_A65553" localSheetId="15">#REF!</definedName>
    <definedName name="_A65553">#REF!</definedName>
    <definedName name="_A65554" localSheetId="11">#REF!</definedName>
    <definedName name="_A65554" localSheetId="12">#REF!</definedName>
    <definedName name="_A65554" localSheetId="2">#REF!</definedName>
    <definedName name="_A65554" localSheetId="3">#REF!</definedName>
    <definedName name="_A65554" localSheetId="4">#REF!</definedName>
    <definedName name="_A65554" localSheetId="5">#REF!</definedName>
    <definedName name="_A65554" localSheetId="6">#REF!</definedName>
    <definedName name="_A65554" localSheetId="7">#REF!</definedName>
    <definedName name="_A65554" localSheetId="8">#REF!</definedName>
    <definedName name="_A65554" localSheetId="9">#REF!</definedName>
    <definedName name="_A65554" localSheetId="10">#REF!</definedName>
    <definedName name="_A65554" localSheetId="15">#REF!</definedName>
    <definedName name="_A65554">#REF!</definedName>
    <definedName name="_A66274" localSheetId="11">#REF!</definedName>
    <definedName name="_A66274" localSheetId="12">#REF!</definedName>
    <definedName name="_A66274" localSheetId="2">#REF!</definedName>
    <definedName name="_A66274" localSheetId="3">#REF!</definedName>
    <definedName name="_A66274" localSheetId="4">#REF!</definedName>
    <definedName name="_A66274" localSheetId="5">#REF!</definedName>
    <definedName name="_A66274" localSheetId="6">#REF!</definedName>
    <definedName name="_A66274" localSheetId="7">#REF!</definedName>
    <definedName name="_A66274" localSheetId="8">#REF!</definedName>
    <definedName name="_A66274" localSheetId="9">#REF!</definedName>
    <definedName name="_A66274" localSheetId="10">#REF!</definedName>
    <definedName name="_A66274" localSheetId="15">#REF!</definedName>
    <definedName name="_A66274">#REF!</definedName>
    <definedName name="_A66553" localSheetId="11">#REF!</definedName>
    <definedName name="_A66553" localSheetId="12">#REF!</definedName>
    <definedName name="_A66553" localSheetId="2">#REF!</definedName>
    <definedName name="_A66553" localSheetId="3">#REF!</definedName>
    <definedName name="_A66553" localSheetId="4">#REF!</definedName>
    <definedName name="_A66553" localSheetId="5">#REF!</definedName>
    <definedName name="_A66553" localSheetId="6">#REF!</definedName>
    <definedName name="_A66553" localSheetId="7">#REF!</definedName>
    <definedName name="_A66553" localSheetId="8">#REF!</definedName>
    <definedName name="_A66553" localSheetId="9">#REF!</definedName>
    <definedName name="_A66553" localSheetId="10">#REF!</definedName>
    <definedName name="_A66553" localSheetId="15">#REF!</definedName>
    <definedName name="_A66553">#REF!</definedName>
    <definedName name="_Fill" localSheetId="11" hidden="1">[5]eqpmad2!#REF!</definedName>
    <definedName name="_Fill" localSheetId="12" hidden="1">[5]eqpmad2!#REF!</definedName>
    <definedName name="_Fill" localSheetId="2" hidden="1">[5]eqpmad2!#REF!</definedName>
    <definedName name="_Fill" localSheetId="3" hidden="1">[5]eqpmad2!#REF!</definedName>
    <definedName name="_Fill" localSheetId="4" hidden="1">[5]eqpmad2!#REF!</definedName>
    <definedName name="_Fill" localSheetId="5" hidden="1">[5]eqpmad2!#REF!</definedName>
    <definedName name="_Fill" localSheetId="6" hidden="1">[5]eqpmad2!#REF!</definedName>
    <definedName name="_Fill" localSheetId="7" hidden="1">[5]eqpmad2!#REF!</definedName>
    <definedName name="_Fill" localSheetId="8" hidden="1">[5]eqpmad2!#REF!</definedName>
    <definedName name="_Fill" localSheetId="9" hidden="1">[5]eqpmad2!#REF!</definedName>
    <definedName name="_Fill" localSheetId="10" hidden="1">[5]eqpmad2!#REF!</definedName>
    <definedName name="_Fill" localSheetId="0" hidden="1">[5]eqpmad2!#REF!</definedName>
    <definedName name="_Fill" hidden="1">[5]eqpmad2!#REF!</definedName>
    <definedName name="_xlnm._FilterDatabase" localSheetId="21" hidden="1">'200章'!$A$4:$F$138</definedName>
    <definedName name="_xlnm._FilterDatabase" localSheetId="22" hidden="1">'400章'!$A$4:$F$142</definedName>
    <definedName name="_xlnm._FilterDatabase" localSheetId="11" hidden="1">'工程量清单10-巫奉路'!$A$4:$E$42</definedName>
    <definedName name="_xlnm._FilterDatabase" localSheetId="12" hidden="1">'工程量清单11-奉溪路'!$A$4:$E$42</definedName>
    <definedName name="_xlnm._FilterDatabase" localSheetId="2" hidden="1">'工程量清单1-分界梁'!$A$4:$K$83</definedName>
    <definedName name="_xlnm._FilterDatabase" localSheetId="3" hidden="1">'工程量清单2-凤凰梁 '!$A$4:$L$59</definedName>
    <definedName name="_xlnm._FilterDatabase" localSheetId="4" hidden="1">'工程量清单3-马垭口'!$A$4:$M$73</definedName>
    <definedName name="_xlnm._FilterDatabase" localSheetId="5" hidden="1">'工程量清单4-红岩'!$A$4:$N$82</definedName>
    <definedName name="_xlnm._FilterDatabase" localSheetId="6" hidden="1">'工程量清单5-王家坪'!$A$4:$M$78</definedName>
    <definedName name="_xlnm._FilterDatabase" localSheetId="7" hidden="1">'工程量清单6-闵家'!$A$4:$M$78</definedName>
    <definedName name="_xlnm._FilterDatabase" localSheetId="8" hidden="1">'工程量清单7-营盘包'!$A$4:$M$40</definedName>
    <definedName name="_xlnm._FilterDatabase" localSheetId="9" hidden="1">'工程量清单8-孙家崖'!$A$4:$M$82</definedName>
    <definedName name="_xlnm._FilterDatabase" localSheetId="10" hidden="1">'工程量清单9-奉云路'!$A$4:$E$42</definedName>
    <definedName name="_xlnm._FilterDatabase" localSheetId="0" hidden="1">#REF!</definedName>
    <definedName name="_xlnm._FilterDatabase" localSheetId="15" hidden="1">#REF!</definedName>
    <definedName name="_xlnm._FilterDatabase" hidden="1">#REF!</definedName>
    <definedName name="_lsd1">[1]原报调整分录!$J$102:$J$298</definedName>
    <definedName name="_Order1" hidden="1">255</definedName>
    <definedName name="_Order2" hidden="1">255</definedName>
    <definedName name="_PA7" localSheetId="11">'[2]SW-TEO'!#REF!</definedName>
    <definedName name="_PA7" localSheetId="12">'[2]SW-TEO'!#REF!</definedName>
    <definedName name="_PA7" localSheetId="2">'[2]SW-TEO'!#REF!</definedName>
    <definedName name="_PA7" localSheetId="3">'[2]SW-TEO'!#REF!</definedName>
    <definedName name="_PA7" localSheetId="4">'[2]SW-TEO'!#REF!</definedName>
    <definedName name="_PA7" localSheetId="5">'[2]SW-TEO'!#REF!</definedName>
    <definedName name="_PA7" localSheetId="6">'[2]SW-TEO'!#REF!</definedName>
    <definedName name="_PA7" localSheetId="7">'[2]SW-TEO'!#REF!</definedName>
    <definedName name="_PA7" localSheetId="8">'[2]SW-TEO'!#REF!</definedName>
    <definedName name="_PA7" localSheetId="9">'[2]SW-TEO'!#REF!</definedName>
    <definedName name="_PA7" localSheetId="10">'[2]SW-TEO'!#REF!</definedName>
    <definedName name="_PA7" localSheetId="0">'[2]SW-TEO'!#REF!</definedName>
    <definedName name="_PA7">'[2]SW-TEO'!#REF!</definedName>
    <definedName name="_PA8" localSheetId="11">'[2]SW-TEO'!#REF!</definedName>
    <definedName name="_PA8" localSheetId="12">'[2]SW-TEO'!#REF!</definedName>
    <definedName name="_PA8" localSheetId="2">'[2]SW-TEO'!#REF!</definedName>
    <definedName name="_PA8" localSheetId="3">'[2]SW-TEO'!#REF!</definedName>
    <definedName name="_PA8" localSheetId="4">'[2]SW-TEO'!#REF!</definedName>
    <definedName name="_PA8" localSheetId="5">'[2]SW-TEO'!#REF!</definedName>
    <definedName name="_PA8" localSheetId="6">'[2]SW-TEO'!#REF!</definedName>
    <definedName name="_PA8" localSheetId="7">'[2]SW-TEO'!#REF!</definedName>
    <definedName name="_PA8" localSheetId="8">'[2]SW-TEO'!#REF!</definedName>
    <definedName name="_PA8" localSheetId="9">'[2]SW-TEO'!#REF!</definedName>
    <definedName name="_PA8" localSheetId="10">'[2]SW-TEO'!#REF!</definedName>
    <definedName name="_PA8" localSheetId="0">'[2]SW-TEO'!#REF!</definedName>
    <definedName name="_PA8">'[2]SW-TEO'!#REF!</definedName>
    <definedName name="_PD1" localSheetId="11">'[2]SW-TEO'!#REF!</definedName>
    <definedName name="_PD1" localSheetId="12">'[2]SW-TEO'!#REF!</definedName>
    <definedName name="_PD1" localSheetId="2">'[2]SW-TEO'!#REF!</definedName>
    <definedName name="_PD1" localSheetId="3">'[2]SW-TEO'!#REF!</definedName>
    <definedName name="_PD1" localSheetId="4">'[2]SW-TEO'!#REF!</definedName>
    <definedName name="_PD1" localSheetId="5">'[2]SW-TEO'!#REF!</definedName>
    <definedName name="_PD1" localSheetId="6">'[2]SW-TEO'!#REF!</definedName>
    <definedName name="_PD1" localSheetId="7">'[2]SW-TEO'!#REF!</definedName>
    <definedName name="_PD1" localSheetId="8">'[2]SW-TEO'!#REF!</definedName>
    <definedName name="_PD1" localSheetId="9">'[2]SW-TEO'!#REF!</definedName>
    <definedName name="_PD1" localSheetId="10">'[2]SW-TEO'!#REF!</definedName>
    <definedName name="_PD1" localSheetId="0">'[2]SW-TEO'!#REF!</definedName>
    <definedName name="_PD1">'[2]SW-TEO'!#REF!</definedName>
    <definedName name="_PE12" localSheetId="11">'[2]SW-TEO'!#REF!</definedName>
    <definedName name="_PE12" localSheetId="12">'[2]SW-TEO'!#REF!</definedName>
    <definedName name="_PE12" localSheetId="2">'[2]SW-TEO'!#REF!</definedName>
    <definedName name="_PE12" localSheetId="3">'[2]SW-TEO'!#REF!</definedName>
    <definedName name="_PE12" localSheetId="4">'[2]SW-TEO'!#REF!</definedName>
    <definedName name="_PE12" localSheetId="5">'[2]SW-TEO'!#REF!</definedName>
    <definedName name="_PE12" localSheetId="6">'[2]SW-TEO'!#REF!</definedName>
    <definedName name="_PE12" localSheetId="7">'[2]SW-TEO'!#REF!</definedName>
    <definedName name="_PE12" localSheetId="8">'[2]SW-TEO'!#REF!</definedName>
    <definedName name="_PE12" localSheetId="9">'[2]SW-TEO'!#REF!</definedName>
    <definedName name="_PE12" localSheetId="10">'[2]SW-TEO'!#REF!</definedName>
    <definedName name="_PE12" localSheetId="0">'[2]SW-TEO'!#REF!</definedName>
    <definedName name="_PE12">'[2]SW-TEO'!#REF!</definedName>
    <definedName name="_PE13" localSheetId="11">'[2]SW-TEO'!#REF!</definedName>
    <definedName name="_PE13" localSheetId="12">'[2]SW-TEO'!#REF!</definedName>
    <definedName name="_PE13" localSheetId="2">'[2]SW-TEO'!#REF!</definedName>
    <definedName name="_PE13" localSheetId="3">'[2]SW-TEO'!#REF!</definedName>
    <definedName name="_PE13" localSheetId="4">'[2]SW-TEO'!#REF!</definedName>
    <definedName name="_PE13" localSheetId="5">'[2]SW-TEO'!#REF!</definedName>
    <definedName name="_PE13" localSheetId="6">'[2]SW-TEO'!#REF!</definedName>
    <definedName name="_PE13" localSheetId="7">'[2]SW-TEO'!#REF!</definedName>
    <definedName name="_PE13" localSheetId="8">'[2]SW-TEO'!#REF!</definedName>
    <definedName name="_PE13" localSheetId="9">'[2]SW-TEO'!#REF!</definedName>
    <definedName name="_PE13" localSheetId="10">'[2]SW-TEO'!#REF!</definedName>
    <definedName name="_PE13" localSheetId="0">'[2]SW-TEO'!#REF!</definedName>
    <definedName name="_PE13">'[2]SW-TEO'!#REF!</definedName>
    <definedName name="_PE6" localSheetId="11">'[2]SW-TEO'!#REF!</definedName>
    <definedName name="_PE6" localSheetId="12">'[2]SW-TEO'!#REF!</definedName>
    <definedName name="_PE6" localSheetId="2">'[2]SW-TEO'!#REF!</definedName>
    <definedName name="_PE6" localSheetId="3">'[2]SW-TEO'!#REF!</definedName>
    <definedName name="_PE6" localSheetId="4">'[2]SW-TEO'!#REF!</definedName>
    <definedName name="_PE6" localSheetId="5">'[2]SW-TEO'!#REF!</definedName>
    <definedName name="_PE6" localSheetId="6">'[2]SW-TEO'!#REF!</definedName>
    <definedName name="_PE6" localSheetId="7">'[2]SW-TEO'!#REF!</definedName>
    <definedName name="_PE6" localSheetId="8">'[2]SW-TEO'!#REF!</definedName>
    <definedName name="_PE6" localSheetId="9">'[2]SW-TEO'!#REF!</definedName>
    <definedName name="_PE6" localSheetId="10">'[2]SW-TEO'!#REF!</definedName>
    <definedName name="_PE6" localSheetId="0">'[2]SW-TEO'!#REF!</definedName>
    <definedName name="_PE6">'[2]SW-TEO'!#REF!</definedName>
    <definedName name="_PE7" localSheetId="11">'[2]SW-TEO'!#REF!</definedName>
    <definedName name="_PE7" localSheetId="12">'[2]SW-TEO'!#REF!</definedName>
    <definedName name="_PE7" localSheetId="2">'[2]SW-TEO'!#REF!</definedName>
    <definedName name="_PE7" localSheetId="3">'[2]SW-TEO'!#REF!</definedName>
    <definedName name="_PE7" localSheetId="4">'[2]SW-TEO'!#REF!</definedName>
    <definedName name="_PE7" localSheetId="5">'[2]SW-TEO'!#REF!</definedName>
    <definedName name="_PE7" localSheetId="6">'[2]SW-TEO'!#REF!</definedName>
    <definedName name="_PE7" localSheetId="7">'[2]SW-TEO'!#REF!</definedName>
    <definedName name="_PE7" localSheetId="8">'[2]SW-TEO'!#REF!</definedName>
    <definedName name="_PE7" localSheetId="9">'[2]SW-TEO'!#REF!</definedName>
    <definedName name="_PE7" localSheetId="10">'[2]SW-TEO'!#REF!</definedName>
    <definedName name="_PE7" localSheetId="0">'[2]SW-TEO'!#REF!</definedName>
    <definedName name="_PE7">'[2]SW-TEO'!#REF!</definedName>
    <definedName name="_PE8" localSheetId="11">'[2]SW-TEO'!#REF!</definedName>
    <definedName name="_PE8" localSheetId="12">'[2]SW-TEO'!#REF!</definedName>
    <definedName name="_PE8" localSheetId="2">'[2]SW-TEO'!#REF!</definedName>
    <definedName name="_PE8" localSheetId="3">'[2]SW-TEO'!#REF!</definedName>
    <definedName name="_PE8" localSheetId="4">'[2]SW-TEO'!#REF!</definedName>
    <definedName name="_PE8" localSheetId="5">'[2]SW-TEO'!#REF!</definedName>
    <definedName name="_PE8" localSheetId="6">'[2]SW-TEO'!#REF!</definedName>
    <definedName name="_PE8" localSheetId="7">'[2]SW-TEO'!#REF!</definedName>
    <definedName name="_PE8" localSheetId="8">'[2]SW-TEO'!#REF!</definedName>
    <definedName name="_PE8" localSheetId="9">'[2]SW-TEO'!#REF!</definedName>
    <definedName name="_PE8" localSheetId="10">'[2]SW-TEO'!#REF!</definedName>
    <definedName name="_PE8" localSheetId="0">'[2]SW-TEO'!#REF!</definedName>
    <definedName name="_PE8">'[2]SW-TEO'!#REF!</definedName>
    <definedName name="_PE9" localSheetId="11">'[2]SW-TEO'!#REF!</definedName>
    <definedName name="_PE9" localSheetId="12">'[2]SW-TEO'!#REF!</definedName>
    <definedName name="_PE9" localSheetId="2">'[2]SW-TEO'!#REF!</definedName>
    <definedName name="_PE9" localSheetId="3">'[2]SW-TEO'!#REF!</definedName>
    <definedName name="_PE9" localSheetId="4">'[2]SW-TEO'!#REF!</definedName>
    <definedName name="_PE9" localSheetId="5">'[2]SW-TEO'!#REF!</definedName>
    <definedName name="_PE9" localSheetId="6">'[2]SW-TEO'!#REF!</definedName>
    <definedName name="_PE9" localSheetId="7">'[2]SW-TEO'!#REF!</definedName>
    <definedName name="_PE9" localSheetId="8">'[2]SW-TEO'!#REF!</definedName>
    <definedName name="_PE9" localSheetId="9">'[2]SW-TEO'!#REF!</definedName>
    <definedName name="_PE9" localSheetId="10">'[2]SW-TEO'!#REF!</definedName>
    <definedName name="_PE9" localSheetId="0">'[2]SW-TEO'!#REF!</definedName>
    <definedName name="_PE9">'[2]SW-TEO'!#REF!</definedName>
    <definedName name="_PH1" localSheetId="11">'[2]SW-TEO'!#REF!</definedName>
    <definedName name="_PH1" localSheetId="12">'[2]SW-TEO'!#REF!</definedName>
    <definedName name="_PH1" localSheetId="2">'[2]SW-TEO'!#REF!</definedName>
    <definedName name="_PH1" localSheetId="3">'[2]SW-TEO'!#REF!</definedName>
    <definedName name="_PH1" localSheetId="4">'[2]SW-TEO'!#REF!</definedName>
    <definedName name="_PH1" localSheetId="5">'[2]SW-TEO'!#REF!</definedName>
    <definedName name="_PH1" localSheetId="6">'[2]SW-TEO'!#REF!</definedName>
    <definedName name="_PH1" localSheetId="7">'[2]SW-TEO'!#REF!</definedName>
    <definedName name="_PH1" localSheetId="8">'[2]SW-TEO'!#REF!</definedName>
    <definedName name="_PH1" localSheetId="9">'[2]SW-TEO'!#REF!</definedName>
    <definedName name="_PH1" localSheetId="10">'[2]SW-TEO'!#REF!</definedName>
    <definedName name="_PH1" localSheetId="0">'[2]SW-TEO'!#REF!</definedName>
    <definedName name="_PH1">'[2]SW-TEO'!#REF!</definedName>
    <definedName name="_PI1" localSheetId="11">'[2]SW-TEO'!#REF!</definedName>
    <definedName name="_PI1" localSheetId="12">'[2]SW-TEO'!#REF!</definedName>
    <definedName name="_PI1" localSheetId="2">'[2]SW-TEO'!#REF!</definedName>
    <definedName name="_PI1" localSheetId="3">'[2]SW-TEO'!#REF!</definedName>
    <definedName name="_PI1" localSheetId="4">'[2]SW-TEO'!#REF!</definedName>
    <definedName name="_PI1" localSheetId="5">'[2]SW-TEO'!#REF!</definedName>
    <definedName name="_PI1" localSheetId="6">'[2]SW-TEO'!#REF!</definedName>
    <definedName name="_PI1" localSheetId="7">'[2]SW-TEO'!#REF!</definedName>
    <definedName name="_PI1" localSheetId="8">'[2]SW-TEO'!#REF!</definedName>
    <definedName name="_PI1" localSheetId="9">'[2]SW-TEO'!#REF!</definedName>
    <definedName name="_PI1" localSheetId="10">'[2]SW-TEO'!#REF!</definedName>
    <definedName name="_PI1" localSheetId="0">'[2]SW-TEO'!#REF!</definedName>
    <definedName name="_PI1">'[2]SW-TEO'!#REF!</definedName>
    <definedName name="_PK1" localSheetId="11">'[2]SW-TEO'!#REF!</definedName>
    <definedName name="_PK1" localSheetId="12">'[2]SW-TEO'!#REF!</definedName>
    <definedName name="_PK1" localSheetId="2">'[2]SW-TEO'!#REF!</definedName>
    <definedName name="_PK1" localSheetId="3">'[2]SW-TEO'!#REF!</definedName>
    <definedName name="_PK1" localSheetId="4">'[2]SW-TEO'!#REF!</definedName>
    <definedName name="_PK1" localSheetId="5">'[2]SW-TEO'!#REF!</definedName>
    <definedName name="_PK1" localSheetId="6">'[2]SW-TEO'!#REF!</definedName>
    <definedName name="_PK1" localSheetId="7">'[2]SW-TEO'!#REF!</definedName>
    <definedName name="_PK1" localSheetId="8">'[2]SW-TEO'!#REF!</definedName>
    <definedName name="_PK1" localSheetId="9">'[2]SW-TEO'!#REF!</definedName>
    <definedName name="_PK1" localSheetId="10">'[2]SW-TEO'!#REF!</definedName>
    <definedName name="_PK1" localSheetId="0">'[2]SW-TEO'!#REF!</definedName>
    <definedName name="_PK1">'[2]SW-TEO'!#REF!</definedName>
    <definedName name="_PK3" localSheetId="11">'[2]SW-TEO'!#REF!</definedName>
    <definedName name="_PK3" localSheetId="12">'[2]SW-TEO'!#REF!</definedName>
    <definedName name="_PK3" localSheetId="2">'[2]SW-TEO'!#REF!</definedName>
    <definedName name="_PK3" localSheetId="3">'[2]SW-TEO'!#REF!</definedName>
    <definedName name="_PK3" localSheetId="4">'[2]SW-TEO'!#REF!</definedName>
    <definedName name="_PK3" localSheetId="5">'[2]SW-TEO'!#REF!</definedName>
    <definedName name="_PK3" localSheetId="6">'[2]SW-TEO'!#REF!</definedName>
    <definedName name="_PK3" localSheetId="7">'[2]SW-TEO'!#REF!</definedName>
    <definedName name="_PK3" localSheetId="8">'[2]SW-TEO'!#REF!</definedName>
    <definedName name="_PK3" localSheetId="9">'[2]SW-TEO'!#REF!</definedName>
    <definedName name="_PK3" localSheetId="10">'[2]SW-TEO'!#REF!</definedName>
    <definedName name="_PK3" localSheetId="0">'[2]SW-TEO'!#REF!</definedName>
    <definedName name="_PK3">'[2]SW-TEO'!#REF!</definedName>
    <definedName name="a" localSheetId="11">#REF!</definedName>
    <definedName name="a" localSheetId="12">#REF!</definedName>
    <definedName name="a" localSheetId="2">#REF!</definedName>
    <definedName name="a" localSheetId="3">#REF!</definedName>
    <definedName name="a" localSheetId="4">#REF!</definedName>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0">#REF!</definedName>
    <definedName name="a" localSheetId="15">#REF!</definedName>
    <definedName name="a">#REF!</definedName>
    <definedName name="aa" localSheetId="11">#REF!</definedName>
    <definedName name="aa" localSheetId="12">#REF!</definedName>
    <definedName name="aa" localSheetId="2">#REF!</definedName>
    <definedName name="aa" localSheetId="3">#REF!</definedName>
    <definedName name="aa" localSheetId="4">#REF!</definedName>
    <definedName name="aa" localSheetId="5">#REF!</definedName>
    <definedName name="aa" localSheetId="6">#REF!</definedName>
    <definedName name="aa" localSheetId="7">#REF!</definedName>
    <definedName name="aa" localSheetId="8">#REF!</definedName>
    <definedName name="aa" localSheetId="9">#REF!</definedName>
    <definedName name="aa" localSheetId="10">#REF!</definedName>
    <definedName name="aa" localSheetId="0">#REF!</definedName>
    <definedName name="aa" localSheetId="15">#REF!</definedName>
    <definedName name="aa">#REF!</definedName>
    <definedName name="aaaa" localSheetId="11">#REF!</definedName>
    <definedName name="aaaa" localSheetId="12">#REF!</definedName>
    <definedName name="aaaa" localSheetId="2">#REF!</definedName>
    <definedName name="aaaa" localSheetId="3">#REF!</definedName>
    <definedName name="aaaa" localSheetId="4">#REF!</definedName>
    <definedName name="aaaa" localSheetId="5">#REF!</definedName>
    <definedName name="aaaa" localSheetId="6">#REF!</definedName>
    <definedName name="aaaa" localSheetId="7">#REF!</definedName>
    <definedName name="aaaa" localSheetId="8">#REF!</definedName>
    <definedName name="aaaa" localSheetId="9">#REF!</definedName>
    <definedName name="aaaa" localSheetId="10">#REF!</definedName>
    <definedName name="aaaa" localSheetId="15">#REF!</definedName>
    <definedName name="aaaa">#REF!</definedName>
    <definedName name="aiu_bottom" localSheetId="11">'[6]Financ. Overview'!#REF!</definedName>
    <definedName name="aiu_bottom" localSheetId="12">'[6]Financ. Overview'!#REF!</definedName>
    <definedName name="aiu_bottom" localSheetId="2">'[6]Financ. Overview'!#REF!</definedName>
    <definedName name="aiu_bottom" localSheetId="3">'[6]Financ. Overview'!#REF!</definedName>
    <definedName name="aiu_bottom" localSheetId="4">'[6]Financ. Overview'!#REF!</definedName>
    <definedName name="aiu_bottom" localSheetId="5">'[6]Financ. Overview'!#REF!</definedName>
    <definedName name="aiu_bottom" localSheetId="6">'[6]Financ. Overview'!#REF!</definedName>
    <definedName name="aiu_bottom" localSheetId="7">'[6]Financ. Overview'!#REF!</definedName>
    <definedName name="aiu_bottom" localSheetId="8">'[6]Financ. Overview'!#REF!</definedName>
    <definedName name="aiu_bottom" localSheetId="9">'[6]Financ. Overview'!#REF!</definedName>
    <definedName name="aiu_bottom" localSheetId="10">'[6]Financ. Overview'!#REF!</definedName>
    <definedName name="aiu_bottom" localSheetId="0">'[6]Financ. Overview'!#REF!</definedName>
    <definedName name="aiu_bottom">'[6]Financ. Overview'!#REF!</definedName>
    <definedName name="amount_cur">'[7]2-5附件2'!$I$11</definedName>
    <definedName name="as">#N/A</definedName>
    <definedName name="bbbb" localSheetId="11">#REF!</definedName>
    <definedName name="bbbb" localSheetId="12">#REF!</definedName>
    <definedName name="bbbb" localSheetId="2">#REF!</definedName>
    <definedName name="bbbb" localSheetId="3">#REF!</definedName>
    <definedName name="bbbb" localSheetId="4">#REF!</definedName>
    <definedName name="bbbb" localSheetId="5">#REF!</definedName>
    <definedName name="bbbb" localSheetId="6">#REF!</definedName>
    <definedName name="bbbb" localSheetId="7">#REF!</definedName>
    <definedName name="bbbb" localSheetId="8">#REF!</definedName>
    <definedName name="bbbb" localSheetId="9">#REF!</definedName>
    <definedName name="bbbb" localSheetId="10">#REF!</definedName>
    <definedName name="bbbb" localSheetId="15">#REF!</definedName>
    <definedName name="bbbb">#REF!</definedName>
    <definedName name="Bust" localSheetId="0">'[8]00000ppy'!$C$31</definedName>
    <definedName name="Bust">'[8]00000ppy'!$C$31</definedName>
    <definedName name="cccc" localSheetId="11">#REF!</definedName>
    <definedName name="cccc" localSheetId="12">#REF!</definedName>
    <definedName name="cccc" localSheetId="2">#REF!</definedName>
    <definedName name="cccc" localSheetId="3">#REF!</definedName>
    <definedName name="cccc" localSheetId="4">#REF!</definedName>
    <definedName name="cccc" localSheetId="5">#REF!</definedName>
    <definedName name="cccc" localSheetId="6">#REF!</definedName>
    <definedName name="cccc" localSheetId="7">#REF!</definedName>
    <definedName name="cccc" localSheetId="8">#REF!</definedName>
    <definedName name="cccc" localSheetId="9">#REF!</definedName>
    <definedName name="cccc" localSheetId="10">#REF!</definedName>
    <definedName name="cccc" localSheetId="15">#REF!</definedName>
    <definedName name="cccc">#REF!</definedName>
    <definedName name="Continue" localSheetId="0">'[8]00000ppy'!$C$9</definedName>
    <definedName name="Continue">'[8]00000ppy'!$C$9</definedName>
    <definedName name="data" localSheetId="11">#REF!</definedName>
    <definedName name="data" localSheetId="12">#REF!</definedName>
    <definedName name="data" localSheetId="2">#REF!</definedName>
    <definedName name="data" localSheetId="3">#REF!</definedName>
    <definedName name="data" localSheetId="4">#REF!</definedName>
    <definedName name="data" localSheetId="5">#REF!</definedName>
    <definedName name="data" localSheetId="6">#REF!</definedName>
    <definedName name="data" localSheetId="7">#REF!</definedName>
    <definedName name="data" localSheetId="8">#REF!</definedName>
    <definedName name="data" localSheetId="9">#REF!</definedName>
    <definedName name="data" localSheetId="10">#REF!</definedName>
    <definedName name="data" localSheetId="0">#REF!</definedName>
    <definedName name="data" localSheetId="15">#REF!</definedName>
    <definedName name="data">#REF!</definedName>
    <definedName name="_xlnm.Database" localSheetId="11" hidden="1">#REF!</definedName>
    <definedName name="_xlnm.Database" localSheetId="12" hidden="1">#REF!</definedName>
    <definedName name="_xlnm.Database" localSheetId="2" hidden="1">#REF!</definedName>
    <definedName name="_xlnm.Database" localSheetId="3" hidden="1">#REF!</definedName>
    <definedName name="_xlnm.Database" localSheetId="4" hidden="1">#REF!</definedName>
    <definedName name="_xlnm.Database" localSheetId="5" hidden="1">#REF!</definedName>
    <definedName name="_xlnm.Database" localSheetId="6" hidden="1">#REF!</definedName>
    <definedName name="_xlnm.Database" localSheetId="7" hidden="1">#REF!</definedName>
    <definedName name="_xlnm.Database" localSheetId="8" hidden="1">#REF!</definedName>
    <definedName name="_xlnm.Database" localSheetId="9" hidden="1">#REF!</definedName>
    <definedName name="_xlnm.Database" localSheetId="10" hidden="1">#REF!</definedName>
    <definedName name="_xlnm.Database" localSheetId="0" hidden="1">#REF!</definedName>
    <definedName name="_xlnm.Database" localSheetId="15" hidden="1">#REF!</definedName>
    <definedName name="_xlnm.Database" hidden="1">#REF!</definedName>
    <definedName name="database1" localSheetId="11">#REF!</definedName>
    <definedName name="database1" localSheetId="12">#REF!</definedName>
    <definedName name="database1" localSheetId="2">#REF!</definedName>
    <definedName name="database1" localSheetId="3">#REF!</definedName>
    <definedName name="database1" localSheetId="4">#REF!</definedName>
    <definedName name="database1" localSheetId="5">#REF!</definedName>
    <definedName name="database1" localSheetId="6">#REF!</definedName>
    <definedName name="database1" localSheetId="7">#REF!</definedName>
    <definedName name="database1" localSheetId="8">#REF!</definedName>
    <definedName name="database1" localSheetId="9">#REF!</definedName>
    <definedName name="database1" localSheetId="10">#REF!</definedName>
    <definedName name="database1" localSheetId="15">#REF!</definedName>
    <definedName name="database1">#REF!</definedName>
    <definedName name="database2" localSheetId="11">#REF!</definedName>
    <definedName name="database2" localSheetId="12">#REF!</definedName>
    <definedName name="database2" localSheetId="2">#REF!</definedName>
    <definedName name="database2" localSheetId="3">#REF!</definedName>
    <definedName name="database2" localSheetId="4">#REF!</definedName>
    <definedName name="database2" localSheetId="5">#REF!</definedName>
    <definedName name="database2" localSheetId="6">#REF!</definedName>
    <definedName name="database2" localSheetId="7">#REF!</definedName>
    <definedName name="database2" localSheetId="8">#REF!</definedName>
    <definedName name="database2" localSheetId="9">#REF!</definedName>
    <definedName name="database2" localSheetId="10">#REF!</definedName>
    <definedName name="database2" localSheetId="0">#REF!</definedName>
    <definedName name="database2" localSheetId="15">#REF!</definedName>
    <definedName name="database2">#REF!</definedName>
    <definedName name="database3" localSheetId="11">#REF!</definedName>
    <definedName name="database3" localSheetId="12">#REF!</definedName>
    <definedName name="database3" localSheetId="2">#REF!</definedName>
    <definedName name="database3" localSheetId="3">#REF!</definedName>
    <definedName name="database3" localSheetId="4">#REF!</definedName>
    <definedName name="database3" localSheetId="5">#REF!</definedName>
    <definedName name="database3" localSheetId="6">#REF!</definedName>
    <definedName name="database3" localSheetId="7">#REF!</definedName>
    <definedName name="database3" localSheetId="8">#REF!</definedName>
    <definedName name="database3" localSheetId="9">#REF!</definedName>
    <definedName name="database3" localSheetId="10">#REF!</definedName>
    <definedName name="database3" localSheetId="0">#REF!</definedName>
    <definedName name="database3" localSheetId="15">#REF!</definedName>
    <definedName name="database3">#REF!</definedName>
    <definedName name="dddd">'[9]资产评估结果分类汇总表 (2)'!$A$6:$H$71</definedName>
    <definedName name="df">[10]待摊费用明细表!$A$3:$J$12</definedName>
    <definedName name="dss" localSheetId="11" hidden="1">#REF!</definedName>
    <definedName name="dss" localSheetId="12" hidden="1">#REF!</definedName>
    <definedName name="dss" localSheetId="2" hidden="1">#REF!</definedName>
    <definedName name="dss" localSheetId="3" hidden="1">#REF!</definedName>
    <definedName name="dss" localSheetId="4" hidden="1">#REF!</definedName>
    <definedName name="dss" localSheetId="5" hidden="1">#REF!</definedName>
    <definedName name="dss" localSheetId="6" hidden="1">#REF!</definedName>
    <definedName name="dss" localSheetId="7" hidden="1">#REF!</definedName>
    <definedName name="dss" localSheetId="8" hidden="1">#REF!</definedName>
    <definedName name="dss" localSheetId="9" hidden="1">#REF!</definedName>
    <definedName name="dss" localSheetId="10" hidden="1">#REF!</definedName>
    <definedName name="dss" localSheetId="0" hidden="1">#REF!</definedName>
    <definedName name="dss" localSheetId="15" hidden="1">#REF!</definedName>
    <definedName name="dss" hidden="1">#REF!</definedName>
    <definedName name="E206." localSheetId="11">#REF!</definedName>
    <definedName name="E206." localSheetId="12">#REF!</definedName>
    <definedName name="E206." localSheetId="2">#REF!</definedName>
    <definedName name="E206." localSheetId="3">#REF!</definedName>
    <definedName name="E206." localSheetId="4">#REF!</definedName>
    <definedName name="E206." localSheetId="5">#REF!</definedName>
    <definedName name="E206." localSheetId="6">#REF!</definedName>
    <definedName name="E206." localSheetId="7">#REF!</definedName>
    <definedName name="E206." localSheetId="8">#REF!</definedName>
    <definedName name="E206." localSheetId="9">#REF!</definedName>
    <definedName name="E206." localSheetId="10">#REF!</definedName>
    <definedName name="E206." localSheetId="0">#REF!</definedName>
    <definedName name="E206." localSheetId="15">#REF!</definedName>
    <definedName name="E206.">#REF!</definedName>
    <definedName name="eee" localSheetId="11">#REF!</definedName>
    <definedName name="eee" localSheetId="12">#REF!</definedName>
    <definedName name="eee" localSheetId="2">#REF!</definedName>
    <definedName name="eee" localSheetId="3">#REF!</definedName>
    <definedName name="eee" localSheetId="4">#REF!</definedName>
    <definedName name="eee" localSheetId="5">#REF!</definedName>
    <definedName name="eee" localSheetId="6">#REF!</definedName>
    <definedName name="eee" localSheetId="7">#REF!</definedName>
    <definedName name="eee" localSheetId="8">#REF!</definedName>
    <definedName name="eee" localSheetId="9">#REF!</definedName>
    <definedName name="eee" localSheetId="10">#REF!</definedName>
    <definedName name="eee" localSheetId="0">#REF!</definedName>
    <definedName name="eee" localSheetId="15">#REF!</definedName>
    <definedName name="eee">#REF!</definedName>
    <definedName name="eeee" localSheetId="11">#REF!</definedName>
    <definedName name="eeee" localSheetId="12">#REF!</definedName>
    <definedName name="eeee" localSheetId="2">#REF!</definedName>
    <definedName name="eeee" localSheetId="3">#REF!</definedName>
    <definedName name="eeee" localSheetId="4">#REF!</definedName>
    <definedName name="eeee" localSheetId="5">#REF!</definedName>
    <definedName name="eeee" localSheetId="6">#REF!</definedName>
    <definedName name="eeee" localSheetId="7">#REF!</definedName>
    <definedName name="eeee" localSheetId="8">#REF!</definedName>
    <definedName name="eeee" localSheetId="9">#REF!</definedName>
    <definedName name="eeee" localSheetId="10">#REF!</definedName>
    <definedName name="eeee" localSheetId="15">#REF!</definedName>
    <definedName name="eeee">#REF!</definedName>
    <definedName name="fff" localSheetId="11">#REF!</definedName>
    <definedName name="fff" localSheetId="12">#REF!</definedName>
    <definedName name="fff" localSheetId="2">#REF!</definedName>
    <definedName name="fff" localSheetId="3">#REF!</definedName>
    <definedName name="fff" localSheetId="4">#REF!</definedName>
    <definedName name="fff" localSheetId="5">#REF!</definedName>
    <definedName name="fff" localSheetId="6">#REF!</definedName>
    <definedName name="fff" localSheetId="7">#REF!</definedName>
    <definedName name="fff" localSheetId="8">#REF!</definedName>
    <definedName name="fff" localSheetId="9">#REF!</definedName>
    <definedName name="fff" localSheetId="10">#REF!</definedName>
    <definedName name="fff" localSheetId="0">#REF!</definedName>
    <definedName name="fff" localSheetId="15">#REF!</definedName>
    <definedName name="fff">#REF!</definedName>
    <definedName name="FRC">[11]Main!$C$9</definedName>
    <definedName name="gxxe2003">[12]P1012001!$A$6:$E$117</definedName>
    <definedName name="gxxe20032">[12]P1012001!$A$6:$E$117</definedName>
    <definedName name="hhhh" localSheetId="11">#REF!</definedName>
    <definedName name="hhhh" localSheetId="12">#REF!</definedName>
    <definedName name="hhhh" localSheetId="2">#REF!</definedName>
    <definedName name="hhhh" localSheetId="3">#REF!</definedName>
    <definedName name="hhhh" localSheetId="4">#REF!</definedName>
    <definedName name="hhhh" localSheetId="5">#REF!</definedName>
    <definedName name="hhhh" localSheetId="6">#REF!</definedName>
    <definedName name="hhhh" localSheetId="7">#REF!</definedName>
    <definedName name="hhhh" localSheetId="8">#REF!</definedName>
    <definedName name="hhhh" localSheetId="9">#REF!</definedName>
    <definedName name="hhhh" localSheetId="10">#REF!</definedName>
    <definedName name="hhhh" localSheetId="0">#REF!</definedName>
    <definedName name="hhhh" localSheetId="15">#REF!</definedName>
    <definedName name="hhhh">#REF!</definedName>
    <definedName name="hostfee">'[6]Financ. Overview'!$H$12</definedName>
    <definedName name="hraiu_bottom" localSheetId="11">'[6]Financ. Overview'!#REF!</definedName>
    <definedName name="hraiu_bottom" localSheetId="12">'[6]Financ. Overview'!#REF!</definedName>
    <definedName name="hraiu_bottom" localSheetId="2">'[6]Financ. Overview'!#REF!</definedName>
    <definedName name="hraiu_bottom" localSheetId="3">'[6]Financ. Overview'!#REF!</definedName>
    <definedName name="hraiu_bottom" localSheetId="4">'[6]Financ. Overview'!#REF!</definedName>
    <definedName name="hraiu_bottom" localSheetId="5">'[6]Financ. Overview'!#REF!</definedName>
    <definedName name="hraiu_bottom" localSheetId="6">'[6]Financ. Overview'!#REF!</definedName>
    <definedName name="hraiu_bottom" localSheetId="7">'[6]Financ. Overview'!#REF!</definedName>
    <definedName name="hraiu_bottom" localSheetId="8">'[6]Financ. Overview'!#REF!</definedName>
    <definedName name="hraiu_bottom" localSheetId="9">'[6]Financ. Overview'!#REF!</definedName>
    <definedName name="hraiu_bottom" localSheetId="10">'[6]Financ. Overview'!#REF!</definedName>
    <definedName name="hraiu_bottom" localSheetId="0">'[6]Financ. Overview'!#REF!</definedName>
    <definedName name="hraiu_bottom">'[6]Financ. Overview'!#REF!</definedName>
    <definedName name="hvac" localSheetId="11">'[6]Financ. Overview'!#REF!</definedName>
    <definedName name="hvac" localSheetId="12">'[6]Financ. Overview'!#REF!</definedName>
    <definedName name="hvac" localSheetId="2">'[6]Financ. Overview'!#REF!</definedName>
    <definedName name="hvac" localSheetId="3">'[6]Financ. Overview'!#REF!</definedName>
    <definedName name="hvac" localSheetId="4">'[6]Financ. Overview'!#REF!</definedName>
    <definedName name="hvac" localSheetId="5">'[6]Financ. Overview'!#REF!</definedName>
    <definedName name="hvac" localSheetId="6">'[6]Financ. Overview'!#REF!</definedName>
    <definedName name="hvac" localSheetId="7">'[6]Financ. Overview'!#REF!</definedName>
    <definedName name="hvac" localSheetId="8">'[6]Financ. Overview'!#REF!</definedName>
    <definedName name="hvac" localSheetId="9">'[6]Financ. Overview'!#REF!</definedName>
    <definedName name="hvac" localSheetId="10">'[6]Financ. Overview'!#REF!</definedName>
    <definedName name="hvac" localSheetId="0">'[6]Financ. Overview'!#REF!</definedName>
    <definedName name="hvac">'[6]Financ. Overview'!#REF!</definedName>
    <definedName name="HWSheet">1</definedName>
    <definedName name="kkkk" localSheetId="11">#REF!</definedName>
    <definedName name="kkkk" localSheetId="12">#REF!</definedName>
    <definedName name="kkkk" localSheetId="2">#REF!</definedName>
    <definedName name="kkkk" localSheetId="3">#REF!</definedName>
    <definedName name="kkkk" localSheetId="4">#REF!</definedName>
    <definedName name="kkkk" localSheetId="5">#REF!</definedName>
    <definedName name="kkkk" localSheetId="6">#REF!</definedName>
    <definedName name="kkkk" localSheetId="7">#REF!</definedName>
    <definedName name="kkkk" localSheetId="8">#REF!</definedName>
    <definedName name="kkkk" localSheetId="9">#REF!</definedName>
    <definedName name="kkkk" localSheetId="10">#REF!</definedName>
    <definedName name="kkkk" localSheetId="0">#REF!</definedName>
    <definedName name="kkkk" localSheetId="15">#REF!</definedName>
    <definedName name="kkkk">#REF!</definedName>
    <definedName name="lsd">[13]原报调整分录!$J$102:$J$298</definedName>
    <definedName name="MakeIt" localSheetId="0">'[8]00000ppy'!$A$26</definedName>
    <definedName name="MakeIt">'[8]00000ppy'!$A$26</definedName>
    <definedName name="Module.Prix_SMC">#N/A</definedName>
    <definedName name="OS" localSheetId="11">[14]Open!#REF!</definedName>
    <definedName name="OS" localSheetId="12">[14]Open!#REF!</definedName>
    <definedName name="OS" localSheetId="2">[14]Open!#REF!</definedName>
    <definedName name="OS" localSheetId="3">[14]Open!#REF!</definedName>
    <definedName name="OS" localSheetId="4">[14]Open!#REF!</definedName>
    <definedName name="OS" localSheetId="5">[14]Open!#REF!</definedName>
    <definedName name="OS" localSheetId="6">[14]Open!#REF!</definedName>
    <definedName name="OS" localSheetId="7">[14]Open!#REF!</definedName>
    <definedName name="OS" localSheetId="8">[14]Open!#REF!</definedName>
    <definedName name="OS" localSheetId="9">[14]Open!#REF!</definedName>
    <definedName name="OS" localSheetId="10">[14]Open!#REF!</definedName>
    <definedName name="OS" localSheetId="0">[14]Open!#REF!</definedName>
    <definedName name="OS">[14]Open!#REF!</definedName>
    <definedName name="pr_toolbox">[6]Toolbox!$A$3:$I$80</definedName>
    <definedName name="_xlnm.Print_Area" localSheetId="16">'成测表2-6'!$A$1:$H$20</definedName>
    <definedName name="_xlnm.Print_Area" localSheetId="11">'工程量清单10-巫奉路'!$A$1:$M$42</definedName>
    <definedName name="_xlnm.Print_Area" localSheetId="12">'工程量清单11-奉溪路'!$A$1:$M$42</definedName>
    <definedName name="_xlnm.Print_Area" localSheetId="2">'工程量清单1-分界梁'!$A$1:$K$83</definedName>
    <definedName name="_xlnm.Print_Area" localSheetId="3">'工程量清单2-凤凰梁 '!$A$1:$K$59</definedName>
    <definedName name="_xlnm.Print_Area" localSheetId="4">'工程量清单3-马垭口'!$A$1:$M$73</definedName>
    <definedName name="_xlnm.Print_Area" localSheetId="5">'工程量清单4-红岩'!$A$1:$M$82</definedName>
    <definedName name="_xlnm.Print_Area" localSheetId="6">'工程量清单5-王家坪'!$A$1:$M$78</definedName>
    <definedName name="_xlnm.Print_Area" localSheetId="7">'工程量清单6-闵家'!$A$1:$M$78</definedName>
    <definedName name="_xlnm.Print_Area" localSheetId="8">'工程量清单7-营盘包'!$A$1:$M$40</definedName>
    <definedName name="_xlnm.Print_Area" localSheetId="9">'工程量清单8-孙家崖'!$A$1:$M$82</definedName>
    <definedName name="_xlnm.Print_Area" localSheetId="10">'工程量清单9-奉云路'!$A$1:$M$42</definedName>
    <definedName name="_xlnm.Print_Area" localSheetId="0">汇总表!$A$1:$J$21</definedName>
    <definedName name="_xlnm.Print_Area" localSheetId="1">'投标报价汇总表（合同包一）'!$A$1:$G$15</definedName>
    <definedName name="_xlnm.Print_Area" hidden="1">#N/A</definedName>
    <definedName name="Print_Area_MI" localSheetId="11">#REF!</definedName>
    <definedName name="Print_Area_MI" localSheetId="12">#REF!</definedName>
    <definedName name="Print_Area_MI" localSheetId="2">#REF!</definedName>
    <definedName name="Print_Area_MI" localSheetId="3">#REF!</definedName>
    <definedName name="Print_Area_MI" localSheetId="4">#REF!</definedName>
    <definedName name="Print_Area_MI" localSheetId="5">#REF!</definedName>
    <definedName name="Print_Area_MI" localSheetId="6">#REF!</definedName>
    <definedName name="Print_Area_MI" localSheetId="7">#REF!</definedName>
    <definedName name="Print_Area_MI" localSheetId="8">#REF!</definedName>
    <definedName name="Print_Area_MI" localSheetId="9">#REF!</definedName>
    <definedName name="Print_Area_MI" localSheetId="10">#REF!</definedName>
    <definedName name="Print_Area_MI" localSheetId="15">#REF!</definedName>
    <definedName name="Print_Area_MI">#REF!</definedName>
    <definedName name="_xlnm.Print_Titles" localSheetId="21">'200章'!$1:$4</definedName>
    <definedName name="_xlnm.Print_Titles" localSheetId="22">'400章'!$1:$4</definedName>
    <definedName name="_xlnm.Print_Titles" localSheetId="23">'500章'!$1:$4</definedName>
    <definedName name="_xlnm.Print_Titles" localSheetId="17">成测表3间接费!$1:$4</definedName>
    <definedName name="_xlnm.Print_Titles" localSheetId="11">'工程量清单10-巫奉路'!$1:$5</definedName>
    <definedName name="_xlnm.Print_Titles" localSheetId="12">'工程量清单11-奉溪路'!$1:$5</definedName>
    <definedName name="_xlnm.Print_Titles" localSheetId="2">'工程量清单1-分界梁'!$1:$5</definedName>
    <definedName name="_xlnm.Print_Titles" localSheetId="3">'工程量清单2-凤凰梁 '!$1:$5</definedName>
    <definedName name="_xlnm.Print_Titles" localSheetId="4">'工程量清单3-马垭口'!$1:$5</definedName>
    <definedName name="_xlnm.Print_Titles" localSheetId="5">'工程量清单4-红岩'!$1:$5</definedName>
    <definedName name="_xlnm.Print_Titles" localSheetId="6">'工程量清单5-王家坪'!$1:$5</definedName>
    <definedName name="_xlnm.Print_Titles" localSheetId="7">'工程量清单6-闵家'!$1:$5</definedName>
    <definedName name="_xlnm.Print_Titles" localSheetId="8">'工程量清单7-营盘包'!$1:$5</definedName>
    <definedName name="_xlnm.Print_Titles" localSheetId="9">'工程量清单8-孙家崖'!$1:$5</definedName>
    <definedName name="_xlnm.Print_Titles" localSheetId="10">'工程量清单9-奉云路'!$1:$5</definedName>
    <definedName name="_xlnm.Print_Titles" localSheetId="15" hidden="1">间接费!$1:$4</definedName>
    <definedName name="_xlnm.Print_Titles" hidden="1">#N/A</definedName>
    <definedName name="Prix_SMC">#N/A</definedName>
    <definedName name="q" localSheetId="11">#REF!</definedName>
    <definedName name="q" localSheetId="12">#REF!</definedName>
    <definedName name="q" localSheetId="2">#REF!</definedName>
    <definedName name="q" localSheetId="3">#REF!</definedName>
    <definedName name="q" localSheetId="4">#REF!</definedName>
    <definedName name="q" localSheetId="5">#REF!</definedName>
    <definedName name="q" localSheetId="6">#REF!</definedName>
    <definedName name="q" localSheetId="7">#REF!</definedName>
    <definedName name="q" localSheetId="8">#REF!</definedName>
    <definedName name="q" localSheetId="9">#REF!</definedName>
    <definedName name="q" localSheetId="10">#REF!</definedName>
    <definedName name="q" localSheetId="15">#REF!</definedName>
    <definedName name="q">#REF!</definedName>
    <definedName name="qq" localSheetId="11">#REF!</definedName>
    <definedName name="qq" localSheetId="12">#REF!</definedName>
    <definedName name="qq" localSheetId="2">#REF!</definedName>
    <definedName name="qq" localSheetId="3">#REF!</definedName>
    <definedName name="qq" localSheetId="4">#REF!</definedName>
    <definedName name="qq" localSheetId="5">#REF!</definedName>
    <definedName name="qq" localSheetId="6">#REF!</definedName>
    <definedName name="qq" localSheetId="7">#REF!</definedName>
    <definedName name="qq" localSheetId="8">#REF!</definedName>
    <definedName name="qq" localSheetId="9">#REF!</definedName>
    <definedName name="qq" localSheetId="10">#REF!</definedName>
    <definedName name="qq" localSheetId="15">#REF!</definedName>
    <definedName name="qq">#REF!</definedName>
    <definedName name="rrrr" localSheetId="11">#REF!</definedName>
    <definedName name="rrrr" localSheetId="12">#REF!</definedName>
    <definedName name="rrrr" localSheetId="2">#REF!</definedName>
    <definedName name="rrrr" localSheetId="3">#REF!</definedName>
    <definedName name="rrrr" localSheetId="4">#REF!</definedName>
    <definedName name="rrrr" localSheetId="5">#REF!</definedName>
    <definedName name="rrrr" localSheetId="6">#REF!</definedName>
    <definedName name="rrrr" localSheetId="7">#REF!</definedName>
    <definedName name="rrrr" localSheetId="8">#REF!</definedName>
    <definedName name="rrrr" localSheetId="9">#REF!</definedName>
    <definedName name="rrrr" localSheetId="10">#REF!</definedName>
    <definedName name="rrrr" localSheetId="0">#REF!</definedName>
    <definedName name="rrrr" localSheetId="15">#REF!</definedName>
    <definedName name="rrrr">#REF!</definedName>
    <definedName name="s" localSheetId="11">#REF!</definedName>
    <definedName name="s" localSheetId="12">#REF!</definedName>
    <definedName name="s" localSheetId="2">#REF!</definedName>
    <definedName name="s" localSheetId="3">#REF!</definedName>
    <definedName name="s" localSheetId="4">#REF!</definedName>
    <definedName name="s" localSheetId="5">#REF!</definedName>
    <definedName name="s" localSheetId="6">#REF!</definedName>
    <definedName name="s" localSheetId="7">#REF!</definedName>
    <definedName name="s" localSheetId="8">#REF!</definedName>
    <definedName name="s" localSheetId="9">#REF!</definedName>
    <definedName name="s" localSheetId="10">#REF!</definedName>
    <definedName name="s" localSheetId="0">#REF!</definedName>
    <definedName name="s" localSheetId="15">#REF!</definedName>
    <definedName name="s">#REF!</definedName>
    <definedName name="s_c_list" localSheetId="0">[14]Toolbox!$A$7:$H$969</definedName>
    <definedName name="s_c_list">[15]Toolbox!$A$7:$H$969</definedName>
    <definedName name="SCG" localSheetId="11">'[16]G.1R-Shou COP Gf'!#REF!</definedName>
    <definedName name="SCG" localSheetId="12">'[16]G.1R-Shou COP Gf'!#REF!</definedName>
    <definedName name="SCG" localSheetId="2">'[16]G.1R-Shou COP Gf'!#REF!</definedName>
    <definedName name="SCG" localSheetId="3">'[16]G.1R-Shou COP Gf'!#REF!</definedName>
    <definedName name="SCG" localSheetId="4">'[16]G.1R-Shou COP Gf'!#REF!</definedName>
    <definedName name="SCG" localSheetId="5">'[16]G.1R-Shou COP Gf'!#REF!</definedName>
    <definedName name="SCG" localSheetId="6">'[16]G.1R-Shou COP Gf'!#REF!</definedName>
    <definedName name="SCG" localSheetId="7">'[16]G.1R-Shou COP Gf'!#REF!</definedName>
    <definedName name="SCG" localSheetId="8">'[16]G.1R-Shou COP Gf'!#REF!</definedName>
    <definedName name="SCG" localSheetId="9">'[16]G.1R-Shou COP Gf'!#REF!</definedName>
    <definedName name="SCG" localSheetId="10">'[16]G.1R-Shou COP Gf'!#REF!</definedName>
    <definedName name="SCG" localSheetId="0">'[16]G.1R-Shou COP Gf'!#REF!</definedName>
    <definedName name="SCG">'[16]G.1R-Shou COP Gf'!#REF!</definedName>
    <definedName name="sdlfee">'[6]Financ. Overview'!$H$13</definedName>
    <definedName name="sfeggsafasfas" localSheetId="11">#REF!</definedName>
    <definedName name="sfeggsafasfas" localSheetId="12">#REF!</definedName>
    <definedName name="sfeggsafasfas" localSheetId="2">#REF!</definedName>
    <definedName name="sfeggsafasfas" localSheetId="3">#REF!</definedName>
    <definedName name="sfeggsafasfas" localSheetId="4">#REF!</definedName>
    <definedName name="sfeggsafasfas" localSheetId="5">#REF!</definedName>
    <definedName name="sfeggsafasfas" localSheetId="6">#REF!</definedName>
    <definedName name="sfeggsafasfas" localSheetId="7">#REF!</definedName>
    <definedName name="sfeggsafasfas" localSheetId="8">#REF!</definedName>
    <definedName name="sfeggsafasfas" localSheetId="9">#REF!</definedName>
    <definedName name="sfeggsafasfas" localSheetId="10">#REF!</definedName>
    <definedName name="sfeggsafasfas" localSheetId="0">#REF!</definedName>
    <definedName name="sfeggsafasfas" localSheetId="15">#REF!</definedName>
    <definedName name="sfeggsafasfas">#REF!</definedName>
    <definedName name="solar_ratio" localSheetId="0">'[16]POWER ASSUMPTIONS'!$H$7</definedName>
    <definedName name="solar_ratio">'[17]POWER ASSUMPTIONS'!$H$7</definedName>
    <definedName name="ss" localSheetId="11">#REF!</definedName>
    <definedName name="ss" localSheetId="12">#REF!</definedName>
    <definedName name="ss" localSheetId="2">#REF!</definedName>
    <definedName name="ss" localSheetId="3">#REF!</definedName>
    <definedName name="ss" localSheetId="4">#REF!</definedName>
    <definedName name="ss" localSheetId="5">#REF!</definedName>
    <definedName name="ss" localSheetId="6">#REF!</definedName>
    <definedName name="ss" localSheetId="7">#REF!</definedName>
    <definedName name="ss" localSheetId="8">#REF!</definedName>
    <definedName name="ss" localSheetId="9">#REF!</definedName>
    <definedName name="ss" localSheetId="10">#REF!</definedName>
    <definedName name="ss" localSheetId="0">#REF!</definedName>
    <definedName name="ss" localSheetId="15">#REF!</definedName>
    <definedName name="ss">#REF!</definedName>
    <definedName name="ss7fee">'[6]Financ. Overview'!$H$18</definedName>
    <definedName name="subsfee">'[6]Financ. Overview'!$H$14</definedName>
    <definedName name="toolbox">[18]Toolbox!$C$5:$T$1578</definedName>
    <definedName name="ttt" localSheetId="11">#REF!</definedName>
    <definedName name="ttt" localSheetId="12">#REF!</definedName>
    <definedName name="ttt" localSheetId="2">#REF!</definedName>
    <definedName name="ttt" localSheetId="3">#REF!</definedName>
    <definedName name="ttt" localSheetId="4">#REF!</definedName>
    <definedName name="ttt" localSheetId="5">#REF!</definedName>
    <definedName name="ttt" localSheetId="6">#REF!</definedName>
    <definedName name="ttt" localSheetId="7">#REF!</definedName>
    <definedName name="ttt" localSheetId="8">#REF!</definedName>
    <definedName name="ttt" localSheetId="9">#REF!</definedName>
    <definedName name="ttt" localSheetId="10">#REF!</definedName>
    <definedName name="ttt" localSheetId="0">#REF!</definedName>
    <definedName name="ttt" localSheetId="15">#REF!</definedName>
    <definedName name="ttt">#REF!</definedName>
    <definedName name="tttt" localSheetId="11">#REF!</definedName>
    <definedName name="tttt" localSheetId="12">#REF!</definedName>
    <definedName name="tttt" localSheetId="2">#REF!</definedName>
    <definedName name="tttt" localSheetId="3">#REF!</definedName>
    <definedName name="tttt" localSheetId="4">#REF!</definedName>
    <definedName name="tttt" localSheetId="5">#REF!</definedName>
    <definedName name="tttt" localSheetId="6">#REF!</definedName>
    <definedName name="tttt" localSheetId="7">#REF!</definedName>
    <definedName name="tttt" localSheetId="8">#REF!</definedName>
    <definedName name="tttt" localSheetId="9">#REF!</definedName>
    <definedName name="tttt" localSheetId="10">#REF!</definedName>
    <definedName name="tttt" localSheetId="0">#REF!</definedName>
    <definedName name="tttt" localSheetId="15">#REF!</definedName>
    <definedName name="tttt">#REF!</definedName>
    <definedName name="UFPrn20110721123525" localSheetId="11">#REF!</definedName>
    <definedName name="UFPrn20110721123525" localSheetId="12">#REF!</definedName>
    <definedName name="UFPrn20110721123525" localSheetId="2">#REF!</definedName>
    <definedName name="UFPrn20110721123525" localSheetId="3">#REF!</definedName>
    <definedName name="UFPrn20110721123525" localSheetId="4">#REF!</definedName>
    <definedName name="UFPrn20110721123525" localSheetId="5">#REF!</definedName>
    <definedName name="UFPrn20110721123525" localSheetId="6">#REF!</definedName>
    <definedName name="UFPrn20110721123525" localSheetId="7">#REF!</definedName>
    <definedName name="UFPrn20110721123525" localSheetId="8">#REF!</definedName>
    <definedName name="UFPrn20110721123525" localSheetId="9">#REF!</definedName>
    <definedName name="UFPrn20110721123525" localSheetId="10">#REF!</definedName>
    <definedName name="UFPrn20110721123525" localSheetId="0">#REF!</definedName>
    <definedName name="UFPrn20110721123525" localSheetId="15">#REF!</definedName>
    <definedName name="UFPrn20110721123525">#REF!</definedName>
    <definedName name="UFPrn20110722170413" localSheetId="11">#REF!</definedName>
    <definedName name="UFPrn20110722170413" localSheetId="12">#REF!</definedName>
    <definedName name="UFPrn20110722170413" localSheetId="2">#REF!</definedName>
    <definedName name="UFPrn20110722170413" localSheetId="3">#REF!</definedName>
    <definedName name="UFPrn20110722170413" localSheetId="4">#REF!</definedName>
    <definedName name="UFPrn20110722170413" localSheetId="5">#REF!</definedName>
    <definedName name="UFPrn20110722170413" localSheetId="6">#REF!</definedName>
    <definedName name="UFPrn20110722170413" localSheetId="7">#REF!</definedName>
    <definedName name="UFPrn20110722170413" localSheetId="8">#REF!</definedName>
    <definedName name="UFPrn20110722170413" localSheetId="9">#REF!</definedName>
    <definedName name="UFPrn20110722170413" localSheetId="10">#REF!</definedName>
    <definedName name="UFPrn20110722170413" localSheetId="0">#REF!</definedName>
    <definedName name="UFPrn20110722170413" localSheetId="15">#REF!</definedName>
    <definedName name="UFPrn20110722170413">#REF!</definedName>
    <definedName name="V5.1Fee">'[6]Financ. Overview'!$H$15</definedName>
    <definedName name="www" localSheetId="11">#REF!</definedName>
    <definedName name="www" localSheetId="12">#REF!</definedName>
    <definedName name="www" localSheetId="2">#REF!</definedName>
    <definedName name="www" localSheetId="3">#REF!</definedName>
    <definedName name="www" localSheetId="4">#REF!</definedName>
    <definedName name="www" localSheetId="5">#REF!</definedName>
    <definedName name="www" localSheetId="6">#REF!</definedName>
    <definedName name="www" localSheetId="7">#REF!</definedName>
    <definedName name="www" localSheetId="8">#REF!</definedName>
    <definedName name="www" localSheetId="9">#REF!</definedName>
    <definedName name="www" localSheetId="10">#REF!</definedName>
    <definedName name="www" localSheetId="0">#REF!</definedName>
    <definedName name="www" localSheetId="15">#REF!</definedName>
    <definedName name="www">#REF!</definedName>
    <definedName name="yyyy" localSheetId="11">#REF!</definedName>
    <definedName name="yyyy" localSheetId="12">#REF!</definedName>
    <definedName name="yyyy" localSheetId="2">#REF!</definedName>
    <definedName name="yyyy" localSheetId="3">#REF!</definedName>
    <definedName name="yyyy" localSheetId="4">#REF!</definedName>
    <definedName name="yyyy" localSheetId="5">#REF!</definedName>
    <definedName name="yyyy" localSheetId="6">#REF!</definedName>
    <definedName name="yyyy" localSheetId="7">#REF!</definedName>
    <definedName name="yyyy" localSheetId="8">#REF!</definedName>
    <definedName name="yyyy" localSheetId="9">#REF!</definedName>
    <definedName name="yyyy" localSheetId="10">#REF!</definedName>
    <definedName name="yyyy" localSheetId="0">#REF!</definedName>
    <definedName name="yyyy" localSheetId="15">#REF!</definedName>
    <definedName name="yyyy">#REF!</definedName>
    <definedName name="Z32_Cost_red" localSheetId="11">'[6]Financ. Overview'!#REF!</definedName>
    <definedName name="Z32_Cost_red" localSheetId="12">'[6]Financ. Overview'!#REF!</definedName>
    <definedName name="Z32_Cost_red" localSheetId="2">'[6]Financ. Overview'!#REF!</definedName>
    <definedName name="Z32_Cost_red" localSheetId="3">'[6]Financ. Overview'!#REF!</definedName>
    <definedName name="Z32_Cost_red" localSheetId="4">'[6]Financ. Overview'!#REF!</definedName>
    <definedName name="Z32_Cost_red" localSheetId="5">'[6]Financ. Overview'!#REF!</definedName>
    <definedName name="Z32_Cost_red" localSheetId="6">'[6]Financ. Overview'!#REF!</definedName>
    <definedName name="Z32_Cost_red" localSheetId="7">'[6]Financ. Overview'!#REF!</definedName>
    <definedName name="Z32_Cost_red" localSheetId="8">'[6]Financ. Overview'!#REF!</definedName>
    <definedName name="Z32_Cost_red" localSheetId="9">'[6]Financ. Overview'!#REF!</definedName>
    <definedName name="Z32_Cost_red" localSheetId="10">'[6]Financ. Overview'!#REF!</definedName>
    <definedName name="Z32_Cost_red" localSheetId="0">'[6]Financ. Overview'!#REF!</definedName>
    <definedName name="Z32_Cost_red">'[6]Financ. Overview'!#REF!</definedName>
    <definedName name="本级标准收入2004年" localSheetId="0">[19]本年收入合计!$E$4:$E$184</definedName>
    <definedName name="本级标准收入2004年">[20]本年收入合计!$E$4:$E$184</definedName>
    <definedName name="拨款汇总_合计" localSheetId="11">SUM([21]汇总!#REF!)</definedName>
    <definedName name="拨款汇总_合计" localSheetId="12">SUM([21]汇总!#REF!)</definedName>
    <definedName name="拨款汇总_合计" localSheetId="2">SUM([21]汇总!#REF!)</definedName>
    <definedName name="拨款汇总_合计" localSheetId="3">SUM([21]汇总!#REF!)</definedName>
    <definedName name="拨款汇总_合计" localSheetId="4">SUM([21]汇总!#REF!)</definedName>
    <definedName name="拨款汇总_合计" localSheetId="5">SUM([21]汇总!#REF!)</definedName>
    <definedName name="拨款汇总_合计" localSheetId="6">SUM([21]汇总!#REF!)</definedName>
    <definedName name="拨款汇总_合计" localSheetId="7">SUM([21]汇总!#REF!)</definedName>
    <definedName name="拨款汇总_合计" localSheetId="8">SUM([21]汇总!#REF!)</definedName>
    <definedName name="拨款汇总_合计" localSheetId="9">SUM([21]汇总!#REF!)</definedName>
    <definedName name="拨款汇总_合计" localSheetId="10">SUM([21]汇总!#REF!)</definedName>
    <definedName name="拨款汇总_合计" localSheetId="0">SUM([4]汇总!#REF!)</definedName>
    <definedName name="拨款汇总_合计">SUM([21]汇总!#REF!)</definedName>
    <definedName name="财力" localSheetId="11">#REF!</definedName>
    <definedName name="财力" localSheetId="12">#REF!</definedName>
    <definedName name="财力" localSheetId="2">#REF!</definedName>
    <definedName name="财力" localSheetId="3">#REF!</definedName>
    <definedName name="财力" localSheetId="4">#REF!</definedName>
    <definedName name="财力" localSheetId="5">#REF!</definedName>
    <definedName name="财力" localSheetId="6">#REF!</definedName>
    <definedName name="财力" localSheetId="7">#REF!</definedName>
    <definedName name="财力" localSheetId="8">#REF!</definedName>
    <definedName name="财力" localSheetId="9">#REF!</definedName>
    <definedName name="财力" localSheetId="10">#REF!</definedName>
    <definedName name="财力" localSheetId="0">#REF!</definedName>
    <definedName name="财力" localSheetId="15">#REF!</definedName>
    <definedName name="财力">#REF!</definedName>
    <definedName name="财务费用" localSheetId="11">#REF!</definedName>
    <definedName name="财务费用" localSheetId="12">#REF!</definedName>
    <definedName name="财务费用" localSheetId="2">#REF!</definedName>
    <definedName name="财务费用" localSheetId="3">#REF!</definedName>
    <definedName name="财务费用" localSheetId="4">#REF!</definedName>
    <definedName name="财务费用" localSheetId="5">#REF!</definedName>
    <definedName name="财务费用" localSheetId="6">#REF!</definedName>
    <definedName name="财务费用" localSheetId="7">#REF!</definedName>
    <definedName name="财务费用" localSheetId="8">#REF!</definedName>
    <definedName name="财务费用" localSheetId="9">#REF!</definedName>
    <definedName name="财务费用" localSheetId="10">#REF!</definedName>
    <definedName name="财务费用" localSheetId="15">#REF!</definedName>
    <definedName name="财务费用">#REF!</definedName>
    <definedName name="财政供养人员增幅2004年" localSheetId="0">[22]财政供养人员增幅!$E$6</definedName>
    <definedName name="财政供养人员增幅2004年">[23]财政供养人员增幅!$E$6</definedName>
    <definedName name="财政供养人员增幅2004年分县" localSheetId="0">[22]财政供养人员增幅!$E$4:$E$184</definedName>
    <definedName name="财政供养人员增幅2004年分县">[23]财政供养人员增幅!$E$4:$E$184</definedName>
    <definedName name="车库可售面积" localSheetId="11">#REF!</definedName>
    <definedName name="车库可售面积" localSheetId="12">#REF!</definedName>
    <definedName name="车库可售面积" localSheetId="2">#REF!</definedName>
    <definedName name="车库可售面积" localSheetId="3">#REF!</definedName>
    <definedName name="车库可售面积" localSheetId="4">#REF!</definedName>
    <definedName name="车库可售面积" localSheetId="5">#REF!</definedName>
    <definedName name="车库可售面积" localSheetId="6">#REF!</definedName>
    <definedName name="车库可售面积" localSheetId="7">#REF!</definedName>
    <definedName name="车库可售面积" localSheetId="8">#REF!</definedName>
    <definedName name="车库可售面积" localSheetId="9">#REF!</definedName>
    <definedName name="车库可售面积" localSheetId="10">#REF!</definedName>
    <definedName name="车库可售面积" localSheetId="15">#REF!</definedName>
    <definedName name="车库可售面积">#REF!</definedName>
    <definedName name="村级标准支出" localSheetId="0">[24]村级支出!$E$4:$E$184</definedName>
    <definedName name="村级标准支出">[25]村级支出!$E$4:$E$184</definedName>
    <definedName name="大多数" localSheetId="0">[25]XL4Poppy!$A$15</definedName>
    <definedName name="大多数">[26]XL4Poppy!$A$15</definedName>
    <definedName name="大幅度" localSheetId="11">#REF!</definedName>
    <definedName name="大幅度" localSheetId="12">#REF!</definedName>
    <definedName name="大幅度" localSheetId="2">#REF!</definedName>
    <definedName name="大幅度" localSheetId="3">#REF!</definedName>
    <definedName name="大幅度" localSheetId="4">#REF!</definedName>
    <definedName name="大幅度" localSheetId="5">#REF!</definedName>
    <definedName name="大幅度" localSheetId="6">#REF!</definedName>
    <definedName name="大幅度" localSheetId="7">#REF!</definedName>
    <definedName name="大幅度" localSheetId="8">#REF!</definedName>
    <definedName name="大幅度" localSheetId="9">#REF!</definedName>
    <definedName name="大幅度" localSheetId="10">#REF!</definedName>
    <definedName name="大幅度" localSheetId="0">#REF!</definedName>
    <definedName name="大幅度" localSheetId="15">#REF!</definedName>
    <definedName name="大幅度">#REF!</definedName>
    <definedName name="当年新增在建工程" localSheetId="11">#REF!</definedName>
    <definedName name="当年新增在建工程" localSheetId="12">#REF!</definedName>
    <definedName name="当年新增在建工程" localSheetId="2">#REF!</definedName>
    <definedName name="当年新增在建工程" localSheetId="3">#REF!</definedName>
    <definedName name="当年新增在建工程" localSheetId="4">#REF!</definedName>
    <definedName name="当年新增在建工程" localSheetId="5">#REF!</definedName>
    <definedName name="当年新增在建工程" localSheetId="6">#REF!</definedName>
    <definedName name="当年新增在建工程" localSheetId="7">#REF!</definedName>
    <definedName name="当年新增在建工程" localSheetId="8">#REF!</definedName>
    <definedName name="当年新增在建工程" localSheetId="9">#REF!</definedName>
    <definedName name="当年新增在建工程" localSheetId="10">#REF!</definedName>
    <definedName name="当年新增在建工程" localSheetId="15">#REF!</definedName>
    <definedName name="当年新增在建工程">#REF!</definedName>
    <definedName name="地区名称" localSheetId="11">[27]封面!#REF!</definedName>
    <definedName name="地区名称" localSheetId="12">[27]封面!#REF!</definedName>
    <definedName name="地区名称" localSheetId="2">[27]封面!#REF!</definedName>
    <definedName name="地区名称" localSheetId="3">[27]封面!#REF!</definedName>
    <definedName name="地区名称" localSheetId="4">[27]封面!#REF!</definedName>
    <definedName name="地区名称" localSheetId="5">[27]封面!#REF!</definedName>
    <definedName name="地区名称" localSheetId="6">[27]封面!#REF!</definedName>
    <definedName name="地区名称" localSheetId="7">[27]封面!#REF!</definedName>
    <definedName name="地区名称" localSheetId="8">[27]封面!#REF!</definedName>
    <definedName name="地区名称" localSheetId="9">[27]封面!#REF!</definedName>
    <definedName name="地区名称" localSheetId="10">[27]封面!#REF!</definedName>
    <definedName name="地区名称" localSheetId="0">[28]封面!#REF!</definedName>
    <definedName name="地区名称">[27]封面!#REF!</definedName>
    <definedName name="第二产业分县2003年" localSheetId="0">[29]GDP!$G$4:$G$184</definedName>
    <definedName name="第二产业分县2003年">[4]GDP!$G$4:$G$184</definedName>
    <definedName name="第二产业合计2003年" localSheetId="0">[29]GDP!$G$4</definedName>
    <definedName name="第二产业合计2003年">[4]GDP!$G$4</definedName>
    <definedName name="第三产业分县2003年" localSheetId="0">[29]GDP!$H$4:$H$184</definedName>
    <definedName name="第三产业分县2003年">[4]GDP!$H$4:$H$184</definedName>
    <definedName name="第三产业合计2003年" localSheetId="0">[29]GDP!$H$4</definedName>
    <definedName name="第三产业合计2003年">[4]GDP!$H$4</definedName>
    <definedName name="调节阀3300" localSheetId="11">#REF!</definedName>
    <definedName name="调节阀3300" localSheetId="12">#REF!</definedName>
    <definedName name="调节阀3300" localSheetId="2">#REF!</definedName>
    <definedName name="调节阀3300" localSheetId="3">#REF!</definedName>
    <definedName name="调节阀3300" localSheetId="4">#REF!</definedName>
    <definedName name="调节阀3300" localSheetId="5">#REF!</definedName>
    <definedName name="调节阀3300" localSheetId="6">#REF!</definedName>
    <definedName name="调节阀3300" localSheetId="7">#REF!</definedName>
    <definedName name="调节阀3300" localSheetId="8">#REF!</definedName>
    <definedName name="调节阀3300" localSheetId="9">#REF!</definedName>
    <definedName name="调节阀3300" localSheetId="10">#REF!</definedName>
    <definedName name="调节阀3300" localSheetId="15">#REF!</definedName>
    <definedName name="调节阀3300">#REF!</definedName>
    <definedName name="调节阀4500" localSheetId="11">#REF!</definedName>
    <definedName name="调节阀4500" localSheetId="12">#REF!</definedName>
    <definedName name="调节阀4500" localSheetId="2">#REF!</definedName>
    <definedName name="调节阀4500" localSheetId="3">#REF!</definedName>
    <definedName name="调节阀4500" localSheetId="4">#REF!</definedName>
    <definedName name="调节阀4500" localSheetId="5">#REF!</definedName>
    <definedName name="调节阀4500" localSheetId="6">#REF!</definedName>
    <definedName name="调节阀4500" localSheetId="7">#REF!</definedName>
    <definedName name="调节阀4500" localSheetId="8">#REF!</definedName>
    <definedName name="调节阀4500" localSheetId="9">#REF!</definedName>
    <definedName name="调节阀4500" localSheetId="10">#REF!</definedName>
    <definedName name="调节阀4500" localSheetId="15">#REF!</definedName>
    <definedName name="调节阀4500">#REF!</definedName>
    <definedName name="调节阀5600" localSheetId="11">#REF!</definedName>
    <definedName name="调节阀5600" localSheetId="12">#REF!</definedName>
    <definedName name="调节阀5600" localSheetId="2">#REF!</definedName>
    <definedName name="调节阀5600" localSheetId="3">#REF!</definedName>
    <definedName name="调节阀5600" localSheetId="4">#REF!</definedName>
    <definedName name="调节阀5600" localSheetId="5">#REF!</definedName>
    <definedName name="调节阀5600" localSheetId="6">#REF!</definedName>
    <definedName name="调节阀5600" localSheetId="7">#REF!</definedName>
    <definedName name="调节阀5600" localSheetId="8">#REF!</definedName>
    <definedName name="调节阀5600" localSheetId="9">#REF!</definedName>
    <definedName name="调节阀5600" localSheetId="10">#REF!</definedName>
    <definedName name="调节阀5600" localSheetId="15">#REF!</definedName>
    <definedName name="调节阀5600">#REF!</definedName>
    <definedName name="调节阀6000" localSheetId="11">#REF!</definedName>
    <definedName name="调节阀6000" localSheetId="12">#REF!</definedName>
    <definedName name="调节阀6000" localSheetId="2">#REF!</definedName>
    <definedName name="调节阀6000" localSheetId="3">#REF!</definedName>
    <definedName name="调节阀6000" localSheetId="4">#REF!</definedName>
    <definedName name="调节阀6000" localSheetId="5">#REF!</definedName>
    <definedName name="调节阀6000" localSheetId="6">#REF!</definedName>
    <definedName name="调节阀6000" localSheetId="7">#REF!</definedName>
    <definedName name="调节阀6000" localSheetId="8">#REF!</definedName>
    <definedName name="调节阀6000" localSheetId="9">#REF!</definedName>
    <definedName name="调节阀6000" localSheetId="10">#REF!</definedName>
    <definedName name="调节阀6000" localSheetId="15">#REF!</definedName>
    <definedName name="调节阀6000">#REF!</definedName>
    <definedName name="调节阀6500" localSheetId="11">#REF!</definedName>
    <definedName name="调节阀6500" localSheetId="12">#REF!</definedName>
    <definedName name="调节阀6500" localSheetId="2">#REF!</definedName>
    <definedName name="调节阀6500" localSheetId="3">#REF!</definedName>
    <definedName name="调节阀6500" localSheetId="4">#REF!</definedName>
    <definedName name="调节阀6500" localSheetId="5">#REF!</definedName>
    <definedName name="调节阀6500" localSheetId="6">#REF!</definedName>
    <definedName name="调节阀6500" localSheetId="7">#REF!</definedName>
    <definedName name="调节阀6500" localSheetId="8">#REF!</definedName>
    <definedName name="调节阀6500" localSheetId="9">#REF!</definedName>
    <definedName name="调节阀6500" localSheetId="10">#REF!</definedName>
    <definedName name="调节阀6500" localSheetId="15">#REF!</definedName>
    <definedName name="调节阀6500">#REF!</definedName>
    <definedName name="调整金额">[13]审计调整分录!$J$103:$J$135</definedName>
    <definedName name="调整金额1">[1]审计调整分录!$J$103:$J$135</definedName>
    <definedName name="调整项目">[13]审计调整分录!$D$103:$D$135</definedName>
    <definedName name="调整项目1">[1]审计调整分录!$D$103:$D$135</definedName>
    <definedName name="短期借款余额表">[30]短期借款余额表!$A$2:$K$9</definedName>
    <definedName name="防火阀2080" localSheetId="11">#REF!</definedName>
    <definedName name="防火阀2080" localSheetId="12">#REF!</definedName>
    <definedName name="防火阀2080" localSheetId="2">#REF!</definedName>
    <definedName name="防火阀2080" localSheetId="3">#REF!</definedName>
    <definedName name="防火阀2080" localSheetId="4">#REF!</definedName>
    <definedName name="防火阀2080" localSheetId="5">#REF!</definedName>
    <definedName name="防火阀2080" localSheetId="6">#REF!</definedName>
    <definedName name="防火阀2080" localSheetId="7">#REF!</definedName>
    <definedName name="防火阀2080" localSheetId="8">#REF!</definedName>
    <definedName name="防火阀2080" localSheetId="9">#REF!</definedName>
    <definedName name="防火阀2080" localSheetId="10">#REF!</definedName>
    <definedName name="防火阀2080" localSheetId="15">#REF!</definedName>
    <definedName name="防火阀2080">#REF!</definedName>
    <definedName name="防火阀3600" localSheetId="11">#REF!</definedName>
    <definedName name="防火阀3600" localSheetId="12">#REF!</definedName>
    <definedName name="防火阀3600" localSheetId="2">#REF!</definedName>
    <definedName name="防火阀3600" localSheetId="3">#REF!</definedName>
    <definedName name="防火阀3600" localSheetId="4">#REF!</definedName>
    <definedName name="防火阀3600" localSheetId="5">#REF!</definedName>
    <definedName name="防火阀3600" localSheetId="6">#REF!</definedName>
    <definedName name="防火阀3600" localSheetId="7">#REF!</definedName>
    <definedName name="防火阀3600" localSheetId="8">#REF!</definedName>
    <definedName name="防火阀3600" localSheetId="9">#REF!</definedName>
    <definedName name="防火阀3600" localSheetId="10">#REF!</definedName>
    <definedName name="防火阀3600" localSheetId="15">#REF!</definedName>
    <definedName name="防火阀3600">#REF!</definedName>
    <definedName name="防火阀5400" localSheetId="11">#REF!</definedName>
    <definedName name="防火阀5400" localSheetId="12">#REF!</definedName>
    <definedName name="防火阀5400" localSheetId="2">#REF!</definedName>
    <definedName name="防火阀5400" localSheetId="3">#REF!</definedName>
    <definedName name="防火阀5400" localSheetId="4">#REF!</definedName>
    <definedName name="防火阀5400" localSheetId="5">#REF!</definedName>
    <definedName name="防火阀5400" localSheetId="6">#REF!</definedName>
    <definedName name="防火阀5400" localSheetId="7">#REF!</definedName>
    <definedName name="防火阀5400" localSheetId="8">#REF!</definedName>
    <definedName name="防火阀5400" localSheetId="9">#REF!</definedName>
    <definedName name="防火阀5400" localSheetId="10">#REF!</definedName>
    <definedName name="防火阀5400" localSheetId="15">#REF!</definedName>
    <definedName name="防火阀5400">#REF!</definedName>
    <definedName name="防火阀6000" localSheetId="11">#REF!</definedName>
    <definedName name="防火阀6000" localSheetId="12">#REF!</definedName>
    <definedName name="防火阀6000" localSheetId="2">#REF!</definedName>
    <definedName name="防火阀6000" localSheetId="3">#REF!</definedName>
    <definedName name="防火阀6000" localSheetId="4">#REF!</definedName>
    <definedName name="防火阀6000" localSheetId="5">#REF!</definedName>
    <definedName name="防火阀6000" localSheetId="6">#REF!</definedName>
    <definedName name="防火阀6000" localSheetId="7">#REF!</definedName>
    <definedName name="防火阀6000" localSheetId="8">#REF!</definedName>
    <definedName name="防火阀6000" localSheetId="9">#REF!</definedName>
    <definedName name="防火阀6000" localSheetId="10">#REF!</definedName>
    <definedName name="防火阀6000" localSheetId="15">#REF!</definedName>
    <definedName name="防火阀6000">#REF!</definedName>
    <definedName name="防火阀6500" localSheetId="11">#REF!</definedName>
    <definedName name="防火阀6500" localSheetId="12">#REF!</definedName>
    <definedName name="防火阀6500" localSheetId="2">#REF!</definedName>
    <definedName name="防火阀6500" localSheetId="3">#REF!</definedName>
    <definedName name="防火阀6500" localSheetId="4">#REF!</definedName>
    <definedName name="防火阀6500" localSheetId="5">#REF!</definedName>
    <definedName name="防火阀6500" localSheetId="6">#REF!</definedName>
    <definedName name="防火阀6500" localSheetId="7">#REF!</definedName>
    <definedName name="防火阀6500" localSheetId="8">#REF!</definedName>
    <definedName name="防火阀6500" localSheetId="9">#REF!</definedName>
    <definedName name="防火阀6500" localSheetId="10">#REF!</definedName>
    <definedName name="防火阀6500" localSheetId="15">#REF!</definedName>
    <definedName name="防火阀6500">#REF!</definedName>
    <definedName name="付款登记表" localSheetId="11">#REF!</definedName>
    <definedName name="付款登记表" localSheetId="12">#REF!</definedName>
    <definedName name="付款登记表" localSheetId="2">#REF!</definedName>
    <definedName name="付款登记表" localSheetId="3">#REF!</definedName>
    <definedName name="付款登记表" localSheetId="4">#REF!</definedName>
    <definedName name="付款登记表" localSheetId="5">#REF!</definedName>
    <definedName name="付款登记表" localSheetId="6">#REF!</definedName>
    <definedName name="付款登记表" localSheetId="7">#REF!</definedName>
    <definedName name="付款登记表" localSheetId="8">#REF!</definedName>
    <definedName name="付款登记表" localSheetId="9">#REF!</definedName>
    <definedName name="付款登记表" localSheetId="10">#REF!</definedName>
    <definedName name="付款登记表" localSheetId="15">#REF!</definedName>
    <definedName name="付款登记表">#REF!</definedName>
    <definedName name="负债总额" localSheetId="11">#REF!</definedName>
    <definedName name="负债总额" localSheetId="12">#REF!</definedName>
    <definedName name="负债总额" localSheetId="2">#REF!</definedName>
    <definedName name="负债总额" localSheetId="3">#REF!</definedName>
    <definedName name="负债总额" localSheetId="4">#REF!</definedName>
    <definedName name="负债总额" localSheetId="5">#REF!</definedName>
    <definedName name="负债总额" localSheetId="6">#REF!</definedName>
    <definedName name="负债总额" localSheetId="7">#REF!</definedName>
    <definedName name="负债总额" localSheetId="8">#REF!</definedName>
    <definedName name="负债总额" localSheetId="9">#REF!</definedName>
    <definedName name="负债总额" localSheetId="10">#REF!</definedName>
    <definedName name="负债总额" localSheetId="15">#REF!</definedName>
    <definedName name="负债总额">#REF!</definedName>
    <definedName name="耕地占用税分县2003年" localSheetId="0">[31]一般预算收入!$U$4:$U$184</definedName>
    <definedName name="耕地占用税分县2003年">[32]一般预算收入!$U$4:$U$184</definedName>
    <definedName name="耕地占用税合计2003年" localSheetId="0">[31]一般预算收入!$U$4</definedName>
    <definedName name="耕地占用税合计2003年">[32]一般预算收入!$U$4</definedName>
    <definedName name="工商税收2004年" localSheetId="0">[33]工商税收!$S$4:$S$184</definedName>
    <definedName name="工商税收2004年">[34]工商税收!$S$4:$S$184</definedName>
    <definedName name="工商税收合计2004年" localSheetId="0">[33]工商税收!$S$4</definedName>
    <definedName name="工商税收合计2004年">[34]工商税收!$S$4</definedName>
    <definedName name="公检法司部门编制数" localSheetId="0">[35]公检法司编制!$E$4:$E$184</definedName>
    <definedName name="公检法司部门编制数">[36]公检法司编制!$E$4:$E$184</definedName>
    <definedName name="公用标准支出" localSheetId="0">[37]合计!$E$4:$E$184</definedName>
    <definedName name="公用标准支出">[38]合计!$E$4:$E$184</definedName>
    <definedName name="公寓可售面积" localSheetId="11">#REF!</definedName>
    <definedName name="公寓可售面积" localSheetId="12">#REF!</definedName>
    <definedName name="公寓可售面积" localSheetId="2">#REF!</definedName>
    <definedName name="公寓可售面积" localSheetId="3">#REF!</definedName>
    <definedName name="公寓可售面积" localSheetId="4">#REF!</definedName>
    <definedName name="公寓可售面积" localSheetId="5">#REF!</definedName>
    <definedName name="公寓可售面积" localSheetId="6">#REF!</definedName>
    <definedName name="公寓可售面积" localSheetId="7">#REF!</definedName>
    <definedName name="公寓可售面积" localSheetId="8">#REF!</definedName>
    <definedName name="公寓可售面积" localSheetId="9">#REF!</definedName>
    <definedName name="公寓可售面积" localSheetId="10">#REF!</definedName>
    <definedName name="公寓可售面积" localSheetId="15">#REF!</definedName>
    <definedName name="公寓可售面积">#REF!</definedName>
    <definedName name="固定电话ARPU" localSheetId="11">#REF!</definedName>
    <definedName name="固定电话ARPU" localSheetId="12">#REF!</definedName>
    <definedName name="固定电话ARPU" localSheetId="2">#REF!</definedName>
    <definedName name="固定电话ARPU" localSheetId="3">#REF!</definedName>
    <definedName name="固定电话ARPU" localSheetId="4">#REF!</definedName>
    <definedName name="固定电话ARPU" localSheetId="5">#REF!</definedName>
    <definedName name="固定电话ARPU" localSheetId="6">#REF!</definedName>
    <definedName name="固定电话ARPU" localSheetId="7">#REF!</definedName>
    <definedName name="固定电话ARPU" localSheetId="8">#REF!</definedName>
    <definedName name="固定电话ARPU" localSheetId="9">#REF!</definedName>
    <definedName name="固定电话ARPU" localSheetId="10">#REF!</definedName>
    <definedName name="固定电话ARPU" localSheetId="15">#REF!</definedName>
    <definedName name="固定电话ARPU">#REF!</definedName>
    <definedName name="固定电话收入" localSheetId="11">#REF!</definedName>
    <definedName name="固定电话收入" localSheetId="12">#REF!</definedName>
    <definedName name="固定电话收入" localSheetId="2">#REF!</definedName>
    <definedName name="固定电话收入" localSheetId="3">#REF!</definedName>
    <definedName name="固定电话收入" localSheetId="4">#REF!</definedName>
    <definedName name="固定电话收入" localSheetId="5">#REF!</definedName>
    <definedName name="固定电话收入" localSheetId="6">#REF!</definedName>
    <definedName name="固定电话收入" localSheetId="7">#REF!</definedName>
    <definedName name="固定电话收入" localSheetId="8">#REF!</definedName>
    <definedName name="固定电话收入" localSheetId="9">#REF!</definedName>
    <definedName name="固定电话收入" localSheetId="10">#REF!</definedName>
    <definedName name="固定电话收入" localSheetId="15">#REF!</definedName>
    <definedName name="固定电话收入">#REF!</definedName>
    <definedName name="固定电话收入1" localSheetId="11">#REF!</definedName>
    <definedName name="固定电话收入1" localSheetId="12">#REF!</definedName>
    <definedName name="固定电话收入1" localSheetId="2">#REF!</definedName>
    <definedName name="固定电话收入1" localSheetId="3">#REF!</definedName>
    <definedName name="固定电话收入1" localSheetId="4">#REF!</definedName>
    <definedName name="固定电话收入1" localSheetId="5">#REF!</definedName>
    <definedName name="固定电话收入1" localSheetId="6">#REF!</definedName>
    <definedName name="固定电话收入1" localSheetId="7">#REF!</definedName>
    <definedName name="固定电话收入1" localSheetId="8">#REF!</definedName>
    <definedName name="固定电话收入1" localSheetId="9">#REF!</definedName>
    <definedName name="固定电话收入1" localSheetId="10">#REF!</definedName>
    <definedName name="固定电话收入1" localSheetId="15">#REF!</definedName>
    <definedName name="固定电话收入1">#REF!</definedName>
    <definedName name="固定电话收入2" localSheetId="11">#REF!</definedName>
    <definedName name="固定电话收入2" localSheetId="12">#REF!</definedName>
    <definedName name="固定电话收入2" localSheetId="2">#REF!</definedName>
    <definedName name="固定电话收入2" localSheetId="3">#REF!</definedName>
    <definedName name="固定电话收入2" localSheetId="4">#REF!</definedName>
    <definedName name="固定电话收入2" localSheetId="5">#REF!</definedName>
    <definedName name="固定电话收入2" localSheetId="6">#REF!</definedName>
    <definedName name="固定电话收入2" localSheetId="7">#REF!</definedName>
    <definedName name="固定电话收入2" localSheetId="8">#REF!</definedName>
    <definedName name="固定电话收入2" localSheetId="9">#REF!</definedName>
    <definedName name="固定电话收入2" localSheetId="10">#REF!</definedName>
    <definedName name="固定电话收入2" localSheetId="15">#REF!</definedName>
    <definedName name="固定电话收入2">#REF!</definedName>
    <definedName name="固定电话用户" localSheetId="11">#REF!</definedName>
    <definedName name="固定电话用户" localSheetId="12">#REF!</definedName>
    <definedName name="固定电话用户" localSheetId="2">#REF!</definedName>
    <definedName name="固定电话用户" localSheetId="3">#REF!</definedName>
    <definedName name="固定电话用户" localSheetId="4">#REF!</definedName>
    <definedName name="固定电话用户" localSheetId="5">#REF!</definedName>
    <definedName name="固定电话用户" localSheetId="6">#REF!</definedName>
    <definedName name="固定电话用户" localSheetId="7">#REF!</definedName>
    <definedName name="固定电话用户" localSheetId="8">#REF!</definedName>
    <definedName name="固定电话用户" localSheetId="9">#REF!</definedName>
    <definedName name="固定电话用户" localSheetId="10">#REF!</definedName>
    <definedName name="固定电话用户" localSheetId="15">#REF!</definedName>
    <definedName name="固定电话用户">#REF!</definedName>
    <definedName name="固定资产" localSheetId="11">#REF!</definedName>
    <definedName name="固定资产" localSheetId="12">#REF!</definedName>
    <definedName name="固定资产" localSheetId="2">#REF!</definedName>
    <definedName name="固定资产" localSheetId="3">#REF!</definedName>
    <definedName name="固定资产" localSheetId="4">#REF!</definedName>
    <definedName name="固定资产" localSheetId="5">#REF!</definedName>
    <definedName name="固定资产" localSheetId="6">#REF!</definedName>
    <definedName name="固定资产" localSheetId="7">#REF!</definedName>
    <definedName name="固定资产" localSheetId="8">#REF!</definedName>
    <definedName name="固定资产" localSheetId="9">#REF!</definedName>
    <definedName name="固定资产" localSheetId="10">#REF!</definedName>
    <definedName name="固定资产" localSheetId="15">#REF!</definedName>
    <definedName name="固定资产">#REF!</definedName>
    <definedName name="管理费用" localSheetId="11">#REF!</definedName>
    <definedName name="管理费用" localSheetId="12">#REF!</definedName>
    <definedName name="管理费用" localSheetId="2">#REF!</definedName>
    <definedName name="管理费用" localSheetId="3">#REF!</definedName>
    <definedName name="管理费用" localSheetId="4">#REF!</definedName>
    <definedName name="管理费用" localSheetId="5">#REF!</definedName>
    <definedName name="管理费用" localSheetId="6">#REF!</definedName>
    <definedName name="管理费用" localSheetId="7">#REF!</definedName>
    <definedName name="管理费用" localSheetId="8">#REF!</definedName>
    <definedName name="管理费用" localSheetId="9">#REF!</definedName>
    <definedName name="管理费用" localSheetId="10">#REF!</definedName>
    <definedName name="管理费用" localSheetId="15">#REF!</definedName>
    <definedName name="管理费用">#REF!</definedName>
    <definedName name="合并" localSheetId="11">#REF!</definedName>
    <definedName name="合并" localSheetId="12">#REF!</definedName>
    <definedName name="合并" localSheetId="2">#REF!</definedName>
    <definedName name="合并" localSheetId="3">#REF!</definedName>
    <definedName name="合并" localSheetId="4">#REF!</definedName>
    <definedName name="合并" localSheetId="5">#REF!</definedName>
    <definedName name="合并" localSheetId="6">#REF!</definedName>
    <definedName name="合并" localSheetId="7">#REF!</definedName>
    <definedName name="合并" localSheetId="8">#REF!</definedName>
    <definedName name="合并" localSheetId="9">#REF!</definedName>
    <definedName name="合并" localSheetId="10">#REF!</definedName>
    <definedName name="合并" localSheetId="15">#REF!</definedName>
    <definedName name="合并">#REF!</definedName>
    <definedName name="合并抵消金额" localSheetId="11">#REF!</definedName>
    <definedName name="合并抵消金额" localSheetId="12">#REF!</definedName>
    <definedName name="合并抵消金额" localSheetId="2">#REF!</definedName>
    <definedName name="合并抵消金额" localSheetId="3">#REF!</definedName>
    <definedName name="合并抵消金额" localSheetId="4">#REF!</definedName>
    <definedName name="合并抵消金额" localSheetId="5">#REF!</definedName>
    <definedName name="合并抵消金额" localSheetId="6">#REF!</definedName>
    <definedName name="合并抵消金额" localSheetId="7">#REF!</definedName>
    <definedName name="合并抵消金额" localSheetId="8">#REF!</definedName>
    <definedName name="合并抵消金额" localSheetId="9">#REF!</definedName>
    <definedName name="合并抵消金额" localSheetId="10">#REF!</definedName>
    <definedName name="合并抵消金额" localSheetId="15">#REF!</definedName>
    <definedName name="合并抵消金额">#REF!</definedName>
    <definedName name="合并抵消项目" localSheetId="11">#REF!</definedName>
    <definedName name="合并抵消项目" localSheetId="12">#REF!</definedName>
    <definedName name="合并抵消项目" localSheetId="2">#REF!</definedName>
    <definedName name="合并抵消项目" localSheetId="3">#REF!</definedName>
    <definedName name="合并抵消项目" localSheetId="4">#REF!</definedName>
    <definedName name="合并抵消项目" localSheetId="5">#REF!</definedName>
    <definedName name="合并抵消项目" localSheetId="6">#REF!</definedName>
    <definedName name="合并抵消项目" localSheetId="7">#REF!</definedName>
    <definedName name="合并抵消项目" localSheetId="8">#REF!</definedName>
    <definedName name="合并抵消项目" localSheetId="9">#REF!</definedName>
    <definedName name="合并抵消项目" localSheetId="10">#REF!</definedName>
    <definedName name="合并抵消项目" localSheetId="15">#REF!</definedName>
    <definedName name="合并抵消项目">#REF!</definedName>
    <definedName name="汇率" localSheetId="11">#REF!</definedName>
    <definedName name="汇率" localSheetId="12">#REF!</definedName>
    <definedName name="汇率" localSheetId="2">#REF!</definedName>
    <definedName name="汇率" localSheetId="3">#REF!</definedName>
    <definedName name="汇率" localSheetId="4">#REF!</definedName>
    <definedName name="汇率" localSheetId="5">#REF!</definedName>
    <definedName name="汇率" localSheetId="6">#REF!</definedName>
    <definedName name="汇率" localSheetId="7">#REF!</definedName>
    <definedName name="汇率" localSheetId="8">#REF!</definedName>
    <definedName name="汇率" localSheetId="9">#REF!</definedName>
    <definedName name="汇率" localSheetId="10">#REF!</definedName>
    <definedName name="汇率" localSheetId="0">#REF!</definedName>
    <definedName name="汇率" localSheetId="15">#REF!</definedName>
    <definedName name="汇率">#REF!</definedName>
    <definedName name="会所可售面积" localSheetId="11">#REF!</definedName>
    <definedName name="会所可售面积" localSheetId="12">#REF!</definedName>
    <definedName name="会所可售面积" localSheetId="2">#REF!</definedName>
    <definedName name="会所可售面积" localSheetId="3">#REF!</definedName>
    <definedName name="会所可售面积" localSheetId="4">#REF!</definedName>
    <definedName name="会所可售面积" localSheetId="5">#REF!</definedName>
    <definedName name="会所可售面积" localSheetId="6">#REF!</definedName>
    <definedName name="会所可售面积" localSheetId="7">#REF!</definedName>
    <definedName name="会所可售面积" localSheetId="8">#REF!</definedName>
    <definedName name="会所可售面积" localSheetId="9">#REF!</definedName>
    <definedName name="会所可售面积" localSheetId="10">#REF!</definedName>
    <definedName name="会所可售面积" localSheetId="15">#REF!</definedName>
    <definedName name="会所可售面积">#REF!</definedName>
    <definedName name="甲分付清" localSheetId="11">#REF!</definedName>
    <definedName name="甲分付清" localSheetId="12">#REF!</definedName>
    <definedName name="甲分付清" localSheetId="2">#REF!</definedName>
    <definedName name="甲分付清" localSheetId="3">#REF!</definedName>
    <definedName name="甲分付清" localSheetId="4">#REF!</definedName>
    <definedName name="甲分付清" localSheetId="5">#REF!</definedName>
    <definedName name="甲分付清" localSheetId="6">#REF!</definedName>
    <definedName name="甲分付清" localSheetId="7">#REF!</definedName>
    <definedName name="甲分付清" localSheetId="8">#REF!</definedName>
    <definedName name="甲分付清" localSheetId="9">#REF!</definedName>
    <definedName name="甲分付清" localSheetId="10">#REF!</definedName>
    <definedName name="甲分付清" localSheetId="15">#REF!</definedName>
    <definedName name="甲分付清">#REF!</definedName>
    <definedName name="甲分未付清" localSheetId="11">#REF!</definedName>
    <definedName name="甲分未付清" localSheetId="12">#REF!</definedName>
    <definedName name="甲分未付清" localSheetId="2">#REF!</definedName>
    <definedName name="甲分未付清" localSheetId="3">#REF!</definedName>
    <definedName name="甲分未付清" localSheetId="4">#REF!</definedName>
    <definedName name="甲分未付清" localSheetId="5">#REF!</definedName>
    <definedName name="甲分未付清" localSheetId="6">#REF!</definedName>
    <definedName name="甲分未付清" localSheetId="7">#REF!</definedName>
    <definedName name="甲分未付清" localSheetId="8">#REF!</definedName>
    <definedName name="甲分未付清" localSheetId="9">#REF!</definedName>
    <definedName name="甲分未付清" localSheetId="10">#REF!</definedName>
    <definedName name="甲分未付清" localSheetId="15">#REF!</definedName>
    <definedName name="甲分未付清">#REF!</definedName>
    <definedName name="甲货付清" localSheetId="11">#REF!</definedName>
    <definedName name="甲货付清" localSheetId="12">#REF!</definedName>
    <definedName name="甲货付清" localSheetId="2">#REF!</definedName>
    <definedName name="甲货付清" localSheetId="3">#REF!</definedName>
    <definedName name="甲货付清" localSheetId="4">#REF!</definedName>
    <definedName name="甲货付清" localSheetId="5">#REF!</definedName>
    <definedName name="甲货付清" localSheetId="6">#REF!</definedName>
    <definedName name="甲货付清" localSheetId="7">#REF!</definedName>
    <definedName name="甲货付清" localSheetId="8">#REF!</definedName>
    <definedName name="甲货付清" localSheetId="9">#REF!</definedName>
    <definedName name="甲货付清" localSheetId="10">#REF!</definedName>
    <definedName name="甲货付清" localSheetId="15">#REF!</definedName>
    <definedName name="甲货付清">#REF!</definedName>
    <definedName name="金额1" localSheetId="11">#REF!</definedName>
    <definedName name="金额1" localSheetId="12">#REF!</definedName>
    <definedName name="金额1" localSheetId="2">#REF!</definedName>
    <definedName name="金额1" localSheetId="3">#REF!</definedName>
    <definedName name="金额1" localSheetId="4">#REF!</definedName>
    <definedName name="金额1" localSheetId="5">#REF!</definedName>
    <definedName name="金额1" localSheetId="6">#REF!</definedName>
    <definedName name="金额1" localSheetId="7">#REF!</definedName>
    <definedName name="金额1" localSheetId="8">#REF!</definedName>
    <definedName name="金额1" localSheetId="9">#REF!</definedName>
    <definedName name="金额1" localSheetId="10">#REF!</definedName>
    <definedName name="金额1" localSheetId="15">#REF!</definedName>
    <definedName name="金额1">#REF!</definedName>
    <definedName name="净利润" localSheetId="11">#REF!</definedName>
    <definedName name="净利润" localSheetId="12">#REF!</definedName>
    <definedName name="净利润" localSheetId="2">#REF!</definedName>
    <definedName name="净利润" localSheetId="3">#REF!</definedName>
    <definedName name="净利润" localSheetId="4">#REF!</definedName>
    <definedName name="净利润" localSheetId="5">#REF!</definedName>
    <definedName name="净利润" localSheetId="6">#REF!</definedName>
    <definedName name="净利润" localSheetId="7">#REF!</definedName>
    <definedName name="净利润" localSheetId="8">#REF!</definedName>
    <definedName name="净利润" localSheetId="9">#REF!</definedName>
    <definedName name="净利润" localSheetId="10">#REF!</definedName>
    <definedName name="净利润" localSheetId="15">#REF!</definedName>
    <definedName name="净利润">#REF!</definedName>
    <definedName name="净利润1" localSheetId="11">#REF!</definedName>
    <definedName name="净利润1" localSheetId="12">#REF!</definedName>
    <definedName name="净利润1" localSheetId="2">#REF!</definedName>
    <definedName name="净利润1" localSheetId="3">#REF!</definedName>
    <definedName name="净利润1" localSheetId="4">#REF!</definedName>
    <definedName name="净利润1" localSheetId="5">#REF!</definedName>
    <definedName name="净利润1" localSheetId="6">#REF!</definedName>
    <definedName name="净利润1" localSheetId="7">#REF!</definedName>
    <definedName name="净利润1" localSheetId="8">#REF!</definedName>
    <definedName name="净利润1" localSheetId="9">#REF!</definedName>
    <definedName name="净利润1" localSheetId="10">#REF!</definedName>
    <definedName name="净利润1" localSheetId="15">#REF!</definedName>
    <definedName name="净利润1">#REF!</definedName>
    <definedName name="科目编码" localSheetId="0">[39]编码!$A$2:$A$145</definedName>
    <definedName name="科目编码">[40]编码!$A$2:$A$145</definedName>
    <definedName name="宽带ARPU" localSheetId="11">#REF!</definedName>
    <definedName name="宽带ARPU" localSheetId="12">#REF!</definedName>
    <definedName name="宽带ARPU" localSheetId="2">#REF!</definedName>
    <definedName name="宽带ARPU" localSheetId="3">#REF!</definedName>
    <definedName name="宽带ARPU" localSheetId="4">#REF!</definedName>
    <definedName name="宽带ARPU" localSheetId="5">#REF!</definedName>
    <definedName name="宽带ARPU" localSheetId="6">#REF!</definedName>
    <definedName name="宽带ARPU" localSheetId="7">#REF!</definedName>
    <definedName name="宽带ARPU" localSheetId="8">#REF!</definedName>
    <definedName name="宽带ARPU" localSheetId="9">#REF!</definedName>
    <definedName name="宽带ARPU" localSheetId="10">#REF!</definedName>
    <definedName name="宽带ARPU" localSheetId="15">#REF!</definedName>
    <definedName name="宽带ARPU">#REF!</definedName>
    <definedName name="宽带收入" localSheetId="11">#REF!</definedName>
    <definedName name="宽带收入" localSheetId="12">#REF!</definedName>
    <definedName name="宽带收入" localSheetId="2">#REF!</definedName>
    <definedName name="宽带收入" localSheetId="3">#REF!</definedName>
    <definedName name="宽带收入" localSheetId="4">#REF!</definedName>
    <definedName name="宽带收入" localSheetId="5">#REF!</definedName>
    <definedName name="宽带收入" localSheetId="6">#REF!</definedName>
    <definedName name="宽带收入" localSheetId="7">#REF!</definedName>
    <definedName name="宽带收入" localSheetId="8">#REF!</definedName>
    <definedName name="宽带收入" localSheetId="9">#REF!</definedName>
    <definedName name="宽带收入" localSheetId="10">#REF!</definedName>
    <definedName name="宽带收入" localSheetId="15">#REF!</definedName>
    <definedName name="宽带收入">#REF!</definedName>
    <definedName name="宽带用户" localSheetId="11">#REF!</definedName>
    <definedName name="宽带用户" localSheetId="12">#REF!</definedName>
    <definedName name="宽带用户" localSheetId="2">#REF!</definedName>
    <definedName name="宽带用户" localSheetId="3">#REF!</definedName>
    <definedName name="宽带用户" localSheetId="4">#REF!</definedName>
    <definedName name="宽带用户" localSheetId="5">#REF!</definedName>
    <definedName name="宽带用户" localSheetId="6">#REF!</definedName>
    <definedName name="宽带用户" localSheetId="7">#REF!</definedName>
    <definedName name="宽带用户" localSheetId="8">#REF!</definedName>
    <definedName name="宽带用户" localSheetId="9">#REF!</definedName>
    <definedName name="宽带用户" localSheetId="10">#REF!</definedName>
    <definedName name="宽带用户" localSheetId="15">#REF!</definedName>
    <definedName name="宽带用户">#REF!</definedName>
    <definedName name="离心12" localSheetId="11">#REF!</definedName>
    <definedName name="离心12" localSheetId="12">#REF!</definedName>
    <definedName name="离心12" localSheetId="2">#REF!</definedName>
    <definedName name="离心12" localSheetId="3">#REF!</definedName>
    <definedName name="离心12" localSheetId="4">#REF!</definedName>
    <definedName name="离心12" localSheetId="5">#REF!</definedName>
    <definedName name="离心12" localSheetId="6">#REF!</definedName>
    <definedName name="离心12" localSheetId="7">#REF!</definedName>
    <definedName name="离心12" localSheetId="8">#REF!</definedName>
    <definedName name="离心12" localSheetId="9">#REF!</definedName>
    <definedName name="离心12" localSheetId="10">#REF!</definedName>
    <definedName name="离心12" localSheetId="15">#REF!</definedName>
    <definedName name="离心12">#REF!</definedName>
    <definedName name="离心6" localSheetId="11">#REF!</definedName>
    <definedName name="离心6" localSheetId="12">#REF!</definedName>
    <definedName name="离心6" localSheetId="2">#REF!</definedName>
    <definedName name="离心6" localSheetId="3">#REF!</definedName>
    <definedName name="离心6" localSheetId="4">#REF!</definedName>
    <definedName name="离心6" localSheetId="5">#REF!</definedName>
    <definedName name="离心6" localSheetId="6">#REF!</definedName>
    <definedName name="离心6" localSheetId="7">#REF!</definedName>
    <definedName name="离心6" localSheetId="8">#REF!</definedName>
    <definedName name="离心6" localSheetId="9">#REF!</definedName>
    <definedName name="离心6" localSheetId="10">#REF!</definedName>
    <definedName name="离心6" localSheetId="15">#REF!</definedName>
    <definedName name="离心6">#REF!</definedName>
    <definedName name="离心7" localSheetId="11">#REF!</definedName>
    <definedName name="离心7" localSheetId="12">#REF!</definedName>
    <definedName name="离心7" localSheetId="2">#REF!</definedName>
    <definedName name="离心7" localSheetId="3">#REF!</definedName>
    <definedName name="离心7" localSheetId="4">#REF!</definedName>
    <definedName name="离心7" localSheetId="5">#REF!</definedName>
    <definedName name="离心7" localSheetId="6">#REF!</definedName>
    <definedName name="离心7" localSheetId="7">#REF!</definedName>
    <definedName name="离心7" localSheetId="8">#REF!</definedName>
    <definedName name="离心7" localSheetId="9">#REF!</definedName>
    <definedName name="离心7" localSheetId="10">#REF!</definedName>
    <definedName name="离心7" localSheetId="15">#REF!</definedName>
    <definedName name="离心7">#REF!</definedName>
    <definedName name="离心8" localSheetId="11">#REF!</definedName>
    <definedName name="离心8" localSheetId="12">#REF!</definedName>
    <definedName name="离心8" localSheetId="2">#REF!</definedName>
    <definedName name="离心8" localSheetId="3">#REF!</definedName>
    <definedName name="离心8" localSheetId="4">#REF!</definedName>
    <definedName name="离心8" localSheetId="5">#REF!</definedName>
    <definedName name="离心8" localSheetId="6">#REF!</definedName>
    <definedName name="离心8" localSheetId="7">#REF!</definedName>
    <definedName name="离心8" localSheetId="8">#REF!</definedName>
    <definedName name="离心8" localSheetId="9">#REF!</definedName>
    <definedName name="离心8" localSheetId="10">#REF!</definedName>
    <definedName name="离心8" localSheetId="15">#REF!</definedName>
    <definedName name="离心8">#REF!</definedName>
    <definedName name="流动资产" localSheetId="11">#REF!</definedName>
    <definedName name="流动资产" localSheetId="12">#REF!</definedName>
    <definedName name="流动资产" localSheetId="2">#REF!</definedName>
    <definedName name="流动资产" localSheetId="3">#REF!</definedName>
    <definedName name="流动资产" localSheetId="4">#REF!</definedName>
    <definedName name="流动资产" localSheetId="5">#REF!</definedName>
    <definedName name="流动资产" localSheetId="6">#REF!</definedName>
    <definedName name="流动资产" localSheetId="7">#REF!</definedName>
    <definedName name="流动资产" localSheetId="8">#REF!</definedName>
    <definedName name="流动资产" localSheetId="9">#REF!</definedName>
    <definedName name="流动资产" localSheetId="10">#REF!</definedName>
    <definedName name="流动资产" localSheetId="15">#REF!</definedName>
    <definedName name="流动资产">#REF!</definedName>
    <definedName name="路面" localSheetId="11" hidden="1">#REF!</definedName>
    <definedName name="路面" localSheetId="12" hidden="1">#REF!</definedName>
    <definedName name="路面" localSheetId="2" hidden="1">#REF!</definedName>
    <definedName name="路面" localSheetId="3" hidden="1">#REF!</definedName>
    <definedName name="路面" localSheetId="4" hidden="1">#REF!</definedName>
    <definedName name="路面" localSheetId="5" hidden="1">#REF!</definedName>
    <definedName name="路面" localSheetId="6" hidden="1">#REF!</definedName>
    <definedName name="路面" localSheetId="7" hidden="1">#REF!</definedName>
    <definedName name="路面" localSheetId="8" hidden="1">#REF!</definedName>
    <definedName name="路面" localSheetId="9" hidden="1">#REF!</definedName>
    <definedName name="路面" localSheetId="10" hidden="1">#REF!</definedName>
    <definedName name="路面" localSheetId="0" hidden="1">#REF!</definedName>
    <definedName name="路面" localSheetId="15" hidden="1">#REF!</definedName>
    <definedName name="路面" hidden="1">#REF!</definedName>
    <definedName name="名称1" localSheetId="11">#REF!</definedName>
    <definedName name="名称1" localSheetId="12">#REF!</definedName>
    <definedName name="名称1" localSheetId="2">#REF!</definedName>
    <definedName name="名称1" localSheetId="3">#REF!</definedName>
    <definedName name="名称1" localSheetId="4">#REF!</definedName>
    <definedName name="名称1" localSheetId="5">#REF!</definedName>
    <definedName name="名称1" localSheetId="6">#REF!</definedName>
    <definedName name="名称1" localSheetId="7">#REF!</definedName>
    <definedName name="名称1" localSheetId="8">#REF!</definedName>
    <definedName name="名称1" localSheetId="9">#REF!</definedName>
    <definedName name="名称1" localSheetId="10">#REF!</definedName>
    <definedName name="名称1" localSheetId="15">#REF!</definedName>
    <definedName name="名称1">#REF!</definedName>
    <definedName name="年初固定资产" localSheetId="11">#REF!</definedName>
    <definedName name="年初固定资产" localSheetId="12">#REF!</definedName>
    <definedName name="年初固定资产" localSheetId="2">#REF!</definedName>
    <definedName name="年初固定资产" localSheetId="3">#REF!</definedName>
    <definedName name="年初固定资产" localSheetId="4">#REF!</definedName>
    <definedName name="年初固定资产" localSheetId="5">#REF!</definedName>
    <definedName name="年初固定资产" localSheetId="6">#REF!</definedName>
    <definedName name="年初固定资产" localSheetId="7">#REF!</definedName>
    <definedName name="年初固定资产" localSheetId="8">#REF!</definedName>
    <definedName name="年初固定资产" localSheetId="9">#REF!</definedName>
    <definedName name="年初固定资产" localSheetId="10">#REF!</definedName>
    <definedName name="年初固定资产" localSheetId="15">#REF!</definedName>
    <definedName name="年初固定资产">#REF!</definedName>
    <definedName name="年初在建工程" localSheetId="11">#REF!</definedName>
    <definedName name="年初在建工程" localSheetId="12">#REF!</definedName>
    <definedName name="年初在建工程" localSheetId="2">#REF!</definedName>
    <definedName name="年初在建工程" localSheetId="3">#REF!</definedName>
    <definedName name="年初在建工程" localSheetId="4">#REF!</definedName>
    <definedName name="年初在建工程" localSheetId="5">#REF!</definedName>
    <definedName name="年初在建工程" localSheetId="6">#REF!</definedName>
    <definedName name="年初在建工程" localSheetId="7">#REF!</definedName>
    <definedName name="年初在建工程" localSheetId="8">#REF!</definedName>
    <definedName name="年初在建工程" localSheetId="9">#REF!</definedName>
    <definedName name="年初在建工程" localSheetId="10">#REF!</definedName>
    <definedName name="年初在建工程" localSheetId="15">#REF!</definedName>
    <definedName name="年初在建工程">#REF!</definedName>
    <definedName name="农业人口2003年" localSheetId="0">[41]农业人口!$E$4:$E$184</definedName>
    <definedName name="农业人口2003年">[42]农业人口!$E$4:$E$184</definedName>
    <definedName name="农业税分县2003年" localSheetId="0">[31]一般预算收入!$S$4:$S$184</definedName>
    <definedName name="农业税分县2003年">[32]一般预算收入!$S$4:$S$184</definedName>
    <definedName name="农业税合计2003年" localSheetId="0">[31]一般预算收入!$S$4</definedName>
    <definedName name="农业税合计2003年">[32]一般预算收入!$S$4</definedName>
    <definedName name="农业特产税分县2003年" localSheetId="0">[31]一般预算收入!$T$4:$T$184</definedName>
    <definedName name="农业特产税分县2003年">[32]一般预算收入!$T$4:$T$184</definedName>
    <definedName name="农业特产税合计2003年" localSheetId="0">[31]一般预算收入!$T$4</definedName>
    <definedName name="农业特产税合计2003年">[32]一般预算收入!$T$4</definedName>
    <definedName name="农业用地面积" localSheetId="0">[43]农业用地!$E$4:$E$184</definedName>
    <definedName name="农业用地面积">[44]农业用地!$E$4:$E$184</definedName>
    <definedName name="平均资产总额" localSheetId="11">#REF!</definedName>
    <definedName name="平均资产总额" localSheetId="12">#REF!</definedName>
    <definedName name="平均资产总额" localSheetId="2">#REF!</definedName>
    <definedName name="平均资产总额" localSheetId="3">#REF!</definedName>
    <definedName name="平均资产总额" localSheetId="4">#REF!</definedName>
    <definedName name="平均资产总额" localSheetId="5">#REF!</definedName>
    <definedName name="平均资产总额" localSheetId="6">#REF!</definedName>
    <definedName name="平均资产总额" localSheetId="7">#REF!</definedName>
    <definedName name="平均资产总额" localSheetId="8">#REF!</definedName>
    <definedName name="平均资产总额" localSheetId="9">#REF!</definedName>
    <definedName name="平均资产总额" localSheetId="10">#REF!</definedName>
    <definedName name="平均资产总额" localSheetId="15">#REF!</definedName>
    <definedName name="平均资产总额">#REF!</definedName>
    <definedName name="其他费用" localSheetId="11">#REF!</definedName>
    <definedName name="其他费用" localSheetId="12">#REF!</definedName>
    <definedName name="其他费用" localSheetId="2">#REF!</definedName>
    <definedName name="其他费用" localSheetId="3">#REF!</definedName>
    <definedName name="其他费用" localSheetId="4">#REF!</definedName>
    <definedName name="其他费用" localSheetId="5">#REF!</definedName>
    <definedName name="其他费用" localSheetId="6">#REF!</definedName>
    <definedName name="其他费用" localSheetId="7">#REF!</definedName>
    <definedName name="其他费用" localSheetId="8">#REF!</definedName>
    <definedName name="其他费用" localSheetId="9">#REF!</definedName>
    <definedName name="其他费用" localSheetId="10">#REF!</definedName>
    <definedName name="其他费用" localSheetId="15">#REF!</definedName>
    <definedName name="其他费用">#REF!</definedName>
    <definedName name="其他收入" localSheetId="11">#REF!</definedName>
    <definedName name="其他收入" localSheetId="12">#REF!</definedName>
    <definedName name="其他收入" localSheetId="2">#REF!</definedName>
    <definedName name="其他收入" localSheetId="3">#REF!</definedName>
    <definedName name="其他收入" localSheetId="4">#REF!</definedName>
    <definedName name="其他收入" localSheetId="5">#REF!</definedName>
    <definedName name="其他收入" localSheetId="6">#REF!</definedName>
    <definedName name="其他收入" localSheetId="7">#REF!</definedName>
    <definedName name="其他收入" localSheetId="8">#REF!</definedName>
    <definedName name="其他收入" localSheetId="9">#REF!</definedName>
    <definedName name="其他收入" localSheetId="10">#REF!</definedName>
    <definedName name="其他收入" localSheetId="15">#REF!</definedName>
    <definedName name="其他收入">#REF!</definedName>
    <definedName name="契税分县2003年" localSheetId="0">[31]一般预算收入!$V$4:$V$184</definedName>
    <definedName name="契税分县2003年">[32]一般预算收入!$V$4:$V$184</definedName>
    <definedName name="契税合计2003年" localSheetId="0">[31]一般预算收入!$V$4</definedName>
    <definedName name="契税合计2003年">[32]一般预算收入!$V$4</definedName>
    <definedName name="权益乘数" localSheetId="11">#REF!</definedName>
    <definedName name="权益乘数" localSheetId="12">#REF!</definedName>
    <definedName name="权益乘数" localSheetId="2">#REF!</definedName>
    <definedName name="权益乘数" localSheetId="3">#REF!</definedName>
    <definedName name="权益乘数" localSheetId="4">#REF!</definedName>
    <definedName name="权益乘数" localSheetId="5">#REF!</definedName>
    <definedName name="权益乘数" localSheetId="6">#REF!</definedName>
    <definedName name="权益乘数" localSheetId="7">#REF!</definedName>
    <definedName name="权益乘数" localSheetId="8">#REF!</definedName>
    <definedName name="权益乘数" localSheetId="9">#REF!</definedName>
    <definedName name="权益乘数" localSheetId="10">#REF!</definedName>
    <definedName name="权益乘数" localSheetId="15">#REF!</definedName>
    <definedName name="权益乘数">#REF!</definedName>
    <definedName name="全额差额比例" localSheetId="11">'[43]C01-1'!#REF!</definedName>
    <definedName name="全额差额比例" localSheetId="12">'[43]C01-1'!#REF!</definedName>
    <definedName name="全额差额比例" localSheetId="2">'[43]C01-1'!#REF!</definedName>
    <definedName name="全额差额比例" localSheetId="3">'[43]C01-1'!#REF!</definedName>
    <definedName name="全额差额比例" localSheetId="4">'[43]C01-1'!#REF!</definedName>
    <definedName name="全额差额比例" localSheetId="5">'[43]C01-1'!#REF!</definedName>
    <definedName name="全额差额比例" localSheetId="6">'[43]C01-1'!#REF!</definedName>
    <definedName name="全额差额比例" localSheetId="7">'[43]C01-1'!#REF!</definedName>
    <definedName name="全额差额比例" localSheetId="8">'[43]C01-1'!#REF!</definedName>
    <definedName name="全额差额比例" localSheetId="9">'[43]C01-1'!#REF!</definedName>
    <definedName name="全额差额比例" localSheetId="10">'[43]C01-1'!#REF!</definedName>
    <definedName name="全额差额比例" localSheetId="0">'[43]C01-1'!#REF!</definedName>
    <definedName name="全额差额比例">'[43]C01-1'!#REF!</definedName>
    <definedName name="人员标准支出" localSheetId="0">[45]人员支出!$E$4:$E$184</definedName>
    <definedName name="人员标准支出">[46]人员支出!$E$4:$E$184</definedName>
    <definedName name="入" localSheetId="11">#REF!</definedName>
    <definedName name="入" localSheetId="12">#REF!</definedName>
    <definedName name="入" localSheetId="2">#REF!</definedName>
    <definedName name="入" localSheetId="3">#REF!</definedName>
    <definedName name="入" localSheetId="4">#REF!</definedName>
    <definedName name="入" localSheetId="5">#REF!</definedName>
    <definedName name="入" localSheetId="6">#REF!</definedName>
    <definedName name="入" localSheetId="7">#REF!</definedName>
    <definedName name="入" localSheetId="8">#REF!</definedName>
    <definedName name="入" localSheetId="9">#REF!</definedName>
    <definedName name="入" localSheetId="10">#REF!</definedName>
    <definedName name="入" localSheetId="15">#REF!</definedName>
    <definedName name="入">#REF!</definedName>
    <definedName name="伞形风帽" localSheetId="11">#REF!</definedName>
    <definedName name="伞形风帽" localSheetId="12">#REF!</definedName>
    <definedName name="伞形风帽" localSheetId="2">#REF!</definedName>
    <definedName name="伞形风帽" localSheetId="3">#REF!</definedName>
    <definedName name="伞形风帽" localSheetId="4">#REF!</definedName>
    <definedName name="伞形风帽" localSheetId="5">#REF!</definedName>
    <definedName name="伞形风帽" localSheetId="6">#REF!</definedName>
    <definedName name="伞形风帽" localSheetId="7">#REF!</definedName>
    <definedName name="伞形风帽" localSheetId="8">#REF!</definedName>
    <definedName name="伞形风帽" localSheetId="9">#REF!</definedName>
    <definedName name="伞形风帽" localSheetId="10">#REF!</definedName>
    <definedName name="伞形风帽" localSheetId="15">#REF!</definedName>
    <definedName name="伞形风帽">#REF!</definedName>
    <definedName name="商业可售面积" localSheetId="11">#REF!</definedName>
    <definedName name="商业可售面积" localSheetId="12">#REF!</definedName>
    <definedName name="商业可售面积" localSheetId="2">#REF!</definedName>
    <definedName name="商业可售面积" localSheetId="3">#REF!</definedName>
    <definedName name="商业可售面积" localSheetId="4">#REF!</definedName>
    <definedName name="商业可售面积" localSheetId="5">#REF!</definedName>
    <definedName name="商业可售面积" localSheetId="6">#REF!</definedName>
    <definedName name="商业可售面积" localSheetId="7">#REF!</definedName>
    <definedName name="商业可售面积" localSheetId="8">#REF!</definedName>
    <definedName name="商业可售面积" localSheetId="9">#REF!</definedName>
    <definedName name="商业可售面积" localSheetId="10">#REF!</definedName>
    <definedName name="商业可售面积" localSheetId="15">#REF!</definedName>
    <definedName name="商业可售面积">#REF!</definedName>
    <definedName name="商住可售面积" localSheetId="11">#REF!</definedName>
    <definedName name="商住可售面积" localSheetId="12">#REF!</definedName>
    <definedName name="商住可售面积" localSheetId="2">#REF!</definedName>
    <definedName name="商住可售面积" localSheetId="3">#REF!</definedName>
    <definedName name="商住可售面积" localSheetId="4">#REF!</definedName>
    <definedName name="商住可售面积" localSheetId="5">#REF!</definedName>
    <definedName name="商住可售面积" localSheetId="6">#REF!</definedName>
    <definedName name="商住可售面积" localSheetId="7">#REF!</definedName>
    <definedName name="商住可售面积" localSheetId="8">#REF!</definedName>
    <definedName name="商住可售面积" localSheetId="9">#REF!</definedName>
    <definedName name="商住可售面积" localSheetId="10">#REF!</definedName>
    <definedName name="商住可售面积" localSheetId="15">#REF!</definedName>
    <definedName name="商住可售面积">#REF!</definedName>
    <definedName name="生产列1" localSheetId="11">#REF!</definedName>
    <definedName name="生产列1" localSheetId="12">#REF!</definedName>
    <definedName name="生产列1" localSheetId="2">#REF!</definedName>
    <definedName name="生产列1" localSheetId="3">#REF!</definedName>
    <definedName name="生产列1" localSheetId="4">#REF!</definedName>
    <definedName name="生产列1" localSheetId="5">#REF!</definedName>
    <definedName name="生产列1" localSheetId="6">#REF!</definedName>
    <definedName name="生产列1" localSheetId="7">#REF!</definedName>
    <definedName name="生产列1" localSheetId="8">#REF!</definedName>
    <definedName name="生产列1" localSheetId="9">#REF!</definedName>
    <definedName name="生产列1" localSheetId="10">#REF!</definedName>
    <definedName name="生产列1" localSheetId="0">#REF!</definedName>
    <definedName name="生产列1" localSheetId="15">#REF!</definedName>
    <definedName name="生产列1">#REF!</definedName>
    <definedName name="生产列11" localSheetId="11">#REF!</definedName>
    <definedName name="生产列11" localSheetId="12">#REF!</definedName>
    <definedName name="生产列11" localSheetId="2">#REF!</definedName>
    <definedName name="生产列11" localSheetId="3">#REF!</definedName>
    <definedName name="生产列11" localSheetId="4">#REF!</definedName>
    <definedName name="生产列11" localSheetId="5">#REF!</definedName>
    <definedName name="生产列11" localSheetId="6">#REF!</definedName>
    <definedName name="生产列11" localSheetId="7">#REF!</definedName>
    <definedName name="生产列11" localSheetId="8">#REF!</definedName>
    <definedName name="生产列11" localSheetId="9">#REF!</definedName>
    <definedName name="生产列11" localSheetId="10">#REF!</definedName>
    <definedName name="生产列11" localSheetId="0">#REF!</definedName>
    <definedName name="生产列11" localSheetId="15">#REF!</definedName>
    <definedName name="生产列11">#REF!</definedName>
    <definedName name="生产列15" localSheetId="11">#REF!</definedName>
    <definedName name="生产列15" localSheetId="12">#REF!</definedName>
    <definedName name="生产列15" localSheetId="2">#REF!</definedName>
    <definedName name="生产列15" localSheetId="3">#REF!</definedName>
    <definedName name="生产列15" localSheetId="4">#REF!</definedName>
    <definedName name="生产列15" localSheetId="5">#REF!</definedName>
    <definedName name="生产列15" localSheetId="6">#REF!</definedName>
    <definedName name="生产列15" localSheetId="7">#REF!</definedName>
    <definedName name="生产列15" localSheetId="8">#REF!</definedName>
    <definedName name="生产列15" localSheetId="9">#REF!</definedName>
    <definedName name="生产列15" localSheetId="10">#REF!</definedName>
    <definedName name="生产列15" localSheetId="0">#REF!</definedName>
    <definedName name="生产列15" localSheetId="15">#REF!</definedName>
    <definedName name="生产列15">#REF!</definedName>
    <definedName name="生产列16" localSheetId="11">#REF!</definedName>
    <definedName name="生产列16" localSheetId="12">#REF!</definedName>
    <definedName name="生产列16" localSheetId="2">#REF!</definedName>
    <definedName name="生产列16" localSheetId="3">#REF!</definedName>
    <definedName name="生产列16" localSheetId="4">#REF!</definedName>
    <definedName name="生产列16" localSheetId="5">#REF!</definedName>
    <definedName name="生产列16" localSheetId="6">#REF!</definedName>
    <definedName name="生产列16" localSheetId="7">#REF!</definedName>
    <definedName name="生产列16" localSheetId="8">#REF!</definedName>
    <definedName name="生产列16" localSheetId="9">#REF!</definedName>
    <definedName name="生产列16" localSheetId="10">#REF!</definedName>
    <definedName name="生产列16" localSheetId="0">#REF!</definedName>
    <definedName name="生产列16" localSheetId="15">#REF!</definedName>
    <definedName name="生产列16">#REF!</definedName>
    <definedName name="生产列17" localSheetId="11">#REF!</definedName>
    <definedName name="生产列17" localSheetId="12">#REF!</definedName>
    <definedName name="生产列17" localSheetId="2">#REF!</definedName>
    <definedName name="生产列17" localSheetId="3">#REF!</definedName>
    <definedName name="生产列17" localSheetId="4">#REF!</definedName>
    <definedName name="生产列17" localSheetId="5">#REF!</definedName>
    <definedName name="生产列17" localSheetId="6">#REF!</definedName>
    <definedName name="生产列17" localSheetId="7">#REF!</definedName>
    <definedName name="生产列17" localSheetId="8">#REF!</definedName>
    <definedName name="生产列17" localSheetId="9">#REF!</definedName>
    <definedName name="生产列17" localSheetId="10">#REF!</definedName>
    <definedName name="生产列17" localSheetId="0">#REF!</definedName>
    <definedName name="生产列17" localSheetId="15">#REF!</definedName>
    <definedName name="生产列17">#REF!</definedName>
    <definedName name="生产列19" localSheetId="11">#REF!</definedName>
    <definedName name="生产列19" localSheetId="12">#REF!</definedName>
    <definedName name="生产列19" localSheetId="2">#REF!</definedName>
    <definedName name="生产列19" localSheetId="3">#REF!</definedName>
    <definedName name="生产列19" localSheetId="4">#REF!</definedName>
    <definedName name="生产列19" localSheetId="5">#REF!</definedName>
    <definedName name="生产列19" localSheetId="6">#REF!</definedName>
    <definedName name="生产列19" localSheetId="7">#REF!</definedName>
    <definedName name="生产列19" localSheetId="8">#REF!</definedName>
    <definedName name="生产列19" localSheetId="9">#REF!</definedName>
    <definedName name="生产列19" localSheetId="10">#REF!</definedName>
    <definedName name="生产列19" localSheetId="0">#REF!</definedName>
    <definedName name="生产列19" localSheetId="15">#REF!</definedName>
    <definedName name="生产列19">#REF!</definedName>
    <definedName name="生产列2" localSheetId="11">#REF!</definedName>
    <definedName name="生产列2" localSheetId="12">#REF!</definedName>
    <definedName name="生产列2" localSheetId="2">#REF!</definedName>
    <definedName name="生产列2" localSheetId="3">#REF!</definedName>
    <definedName name="生产列2" localSheetId="4">#REF!</definedName>
    <definedName name="生产列2" localSheetId="5">#REF!</definedName>
    <definedName name="生产列2" localSheetId="6">#REF!</definedName>
    <definedName name="生产列2" localSheetId="7">#REF!</definedName>
    <definedName name="生产列2" localSheetId="8">#REF!</definedName>
    <definedName name="生产列2" localSheetId="9">#REF!</definedName>
    <definedName name="生产列2" localSheetId="10">#REF!</definedName>
    <definedName name="生产列2" localSheetId="0">#REF!</definedName>
    <definedName name="生产列2" localSheetId="15">#REF!</definedName>
    <definedName name="生产列2">#REF!</definedName>
    <definedName name="生产列20" localSheetId="11">#REF!</definedName>
    <definedName name="生产列20" localSheetId="12">#REF!</definedName>
    <definedName name="生产列20" localSheetId="2">#REF!</definedName>
    <definedName name="生产列20" localSheetId="3">#REF!</definedName>
    <definedName name="生产列20" localSheetId="4">#REF!</definedName>
    <definedName name="生产列20" localSheetId="5">#REF!</definedName>
    <definedName name="生产列20" localSheetId="6">#REF!</definedName>
    <definedName name="生产列20" localSheetId="7">#REF!</definedName>
    <definedName name="生产列20" localSheetId="8">#REF!</definedName>
    <definedName name="生产列20" localSheetId="9">#REF!</definedName>
    <definedName name="生产列20" localSheetId="10">#REF!</definedName>
    <definedName name="生产列20" localSheetId="0">#REF!</definedName>
    <definedName name="生产列20" localSheetId="15">#REF!</definedName>
    <definedName name="生产列20">#REF!</definedName>
    <definedName name="生产列3" localSheetId="11">#REF!</definedName>
    <definedName name="生产列3" localSheetId="12">#REF!</definedName>
    <definedName name="生产列3" localSheetId="2">#REF!</definedName>
    <definedName name="生产列3" localSheetId="3">#REF!</definedName>
    <definedName name="生产列3" localSheetId="4">#REF!</definedName>
    <definedName name="生产列3" localSheetId="5">#REF!</definedName>
    <definedName name="生产列3" localSheetId="6">#REF!</definedName>
    <definedName name="生产列3" localSheetId="7">#REF!</definedName>
    <definedName name="生产列3" localSheetId="8">#REF!</definedName>
    <definedName name="生产列3" localSheetId="9">#REF!</definedName>
    <definedName name="生产列3" localSheetId="10">#REF!</definedName>
    <definedName name="生产列3" localSheetId="0">#REF!</definedName>
    <definedName name="生产列3" localSheetId="15">#REF!</definedName>
    <definedName name="生产列3">#REF!</definedName>
    <definedName name="生产列4" localSheetId="11">#REF!</definedName>
    <definedName name="生产列4" localSheetId="12">#REF!</definedName>
    <definedName name="生产列4" localSheetId="2">#REF!</definedName>
    <definedName name="生产列4" localSheetId="3">#REF!</definedName>
    <definedName name="生产列4" localSheetId="4">#REF!</definedName>
    <definedName name="生产列4" localSheetId="5">#REF!</definedName>
    <definedName name="生产列4" localSheetId="6">#REF!</definedName>
    <definedName name="生产列4" localSheetId="7">#REF!</definedName>
    <definedName name="生产列4" localSheetId="8">#REF!</definedName>
    <definedName name="生产列4" localSheetId="9">#REF!</definedName>
    <definedName name="生产列4" localSheetId="10">#REF!</definedName>
    <definedName name="生产列4" localSheetId="0">#REF!</definedName>
    <definedName name="生产列4" localSheetId="15">#REF!</definedName>
    <definedName name="生产列4">#REF!</definedName>
    <definedName name="生产列5" localSheetId="11">#REF!</definedName>
    <definedName name="生产列5" localSheetId="12">#REF!</definedName>
    <definedName name="生产列5" localSheetId="2">#REF!</definedName>
    <definedName name="生产列5" localSheetId="3">#REF!</definedName>
    <definedName name="生产列5" localSheetId="4">#REF!</definedName>
    <definedName name="生产列5" localSheetId="5">#REF!</definedName>
    <definedName name="生产列5" localSheetId="6">#REF!</definedName>
    <definedName name="生产列5" localSheetId="7">#REF!</definedName>
    <definedName name="生产列5" localSheetId="8">#REF!</definedName>
    <definedName name="生产列5" localSheetId="9">#REF!</definedName>
    <definedName name="生产列5" localSheetId="10">#REF!</definedName>
    <definedName name="生产列5" localSheetId="0">#REF!</definedName>
    <definedName name="生产列5" localSheetId="15">#REF!</definedName>
    <definedName name="生产列5">#REF!</definedName>
    <definedName name="生产列6" localSheetId="11">#REF!</definedName>
    <definedName name="生产列6" localSheetId="12">#REF!</definedName>
    <definedName name="生产列6" localSheetId="2">#REF!</definedName>
    <definedName name="生产列6" localSheetId="3">#REF!</definedName>
    <definedName name="生产列6" localSheetId="4">#REF!</definedName>
    <definedName name="生产列6" localSheetId="5">#REF!</definedName>
    <definedName name="生产列6" localSheetId="6">#REF!</definedName>
    <definedName name="生产列6" localSheetId="7">#REF!</definedName>
    <definedName name="生产列6" localSheetId="8">#REF!</definedName>
    <definedName name="生产列6" localSheetId="9">#REF!</definedName>
    <definedName name="生产列6" localSheetId="10">#REF!</definedName>
    <definedName name="生产列6" localSheetId="0">#REF!</definedName>
    <definedName name="生产列6" localSheetId="15">#REF!</definedName>
    <definedName name="生产列6">#REF!</definedName>
    <definedName name="生产列7" localSheetId="11">#REF!</definedName>
    <definedName name="生产列7" localSheetId="12">#REF!</definedName>
    <definedName name="生产列7" localSheetId="2">#REF!</definedName>
    <definedName name="生产列7" localSheetId="3">#REF!</definedName>
    <definedName name="生产列7" localSheetId="4">#REF!</definedName>
    <definedName name="生产列7" localSheetId="5">#REF!</definedName>
    <definedName name="生产列7" localSheetId="6">#REF!</definedName>
    <definedName name="生产列7" localSheetId="7">#REF!</definedName>
    <definedName name="生产列7" localSheetId="8">#REF!</definedName>
    <definedName name="生产列7" localSheetId="9">#REF!</definedName>
    <definedName name="生产列7" localSheetId="10">#REF!</definedName>
    <definedName name="生产列7" localSheetId="0">#REF!</definedName>
    <definedName name="生产列7" localSheetId="15">#REF!</definedName>
    <definedName name="生产列7">#REF!</definedName>
    <definedName name="生产列8" localSheetId="11">#REF!</definedName>
    <definedName name="生产列8" localSheetId="12">#REF!</definedName>
    <definedName name="生产列8" localSheetId="2">#REF!</definedName>
    <definedName name="生产列8" localSheetId="3">#REF!</definedName>
    <definedName name="生产列8" localSheetId="4">#REF!</definedName>
    <definedName name="生产列8" localSheetId="5">#REF!</definedName>
    <definedName name="生产列8" localSheetId="6">#REF!</definedName>
    <definedName name="生产列8" localSheetId="7">#REF!</definedName>
    <definedName name="生产列8" localSheetId="8">#REF!</definedName>
    <definedName name="生产列8" localSheetId="9">#REF!</definedName>
    <definedName name="生产列8" localSheetId="10">#REF!</definedName>
    <definedName name="生产列8" localSheetId="0">#REF!</definedName>
    <definedName name="生产列8" localSheetId="15">#REF!</definedName>
    <definedName name="生产列8">#REF!</definedName>
    <definedName name="生产列9" localSheetId="11">#REF!</definedName>
    <definedName name="生产列9" localSheetId="12">#REF!</definedName>
    <definedName name="生产列9" localSheetId="2">#REF!</definedName>
    <definedName name="生产列9" localSheetId="3">#REF!</definedName>
    <definedName name="生产列9" localSheetId="4">#REF!</definedName>
    <definedName name="生产列9" localSheetId="5">#REF!</definedName>
    <definedName name="生产列9" localSheetId="6">#REF!</definedName>
    <definedName name="生产列9" localSheetId="7">#REF!</definedName>
    <definedName name="生产列9" localSheetId="8">#REF!</definedName>
    <definedName name="生产列9" localSheetId="9">#REF!</definedName>
    <definedName name="生产列9" localSheetId="10">#REF!</definedName>
    <definedName name="生产列9" localSheetId="0">#REF!</definedName>
    <definedName name="生产列9" localSheetId="15">#REF!</definedName>
    <definedName name="生产列9">#REF!</definedName>
    <definedName name="生产期" localSheetId="11">#REF!</definedName>
    <definedName name="生产期" localSheetId="12">#REF!</definedName>
    <definedName name="生产期" localSheetId="2">#REF!</definedName>
    <definedName name="生产期" localSheetId="3">#REF!</definedName>
    <definedName name="生产期" localSheetId="4">#REF!</definedName>
    <definedName name="生产期" localSheetId="5">#REF!</definedName>
    <definedName name="生产期" localSheetId="6">#REF!</definedName>
    <definedName name="生产期" localSheetId="7">#REF!</definedName>
    <definedName name="生产期" localSheetId="8">#REF!</definedName>
    <definedName name="生产期" localSheetId="9">#REF!</definedName>
    <definedName name="生产期" localSheetId="10">#REF!</definedName>
    <definedName name="生产期" localSheetId="0">#REF!</definedName>
    <definedName name="生产期" localSheetId="15">#REF!</definedName>
    <definedName name="生产期">#REF!</definedName>
    <definedName name="生产期1" localSheetId="11">#REF!</definedName>
    <definedName name="生产期1" localSheetId="12">#REF!</definedName>
    <definedName name="生产期1" localSheetId="2">#REF!</definedName>
    <definedName name="生产期1" localSheetId="3">#REF!</definedName>
    <definedName name="生产期1" localSheetId="4">#REF!</definedName>
    <definedName name="生产期1" localSheetId="5">#REF!</definedName>
    <definedName name="生产期1" localSheetId="6">#REF!</definedName>
    <definedName name="生产期1" localSheetId="7">#REF!</definedName>
    <definedName name="生产期1" localSheetId="8">#REF!</definedName>
    <definedName name="生产期1" localSheetId="9">#REF!</definedName>
    <definedName name="生产期1" localSheetId="10">#REF!</definedName>
    <definedName name="生产期1" localSheetId="0">#REF!</definedName>
    <definedName name="生产期1" localSheetId="15">#REF!</definedName>
    <definedName name="生产期1">#REF!</definedName>
    <definedName name="生产期11" localSheetId="11">#REF!</definedName>
    <definedName name="生产期11" localSheetId="12">#REF!</definedName>
    <definedName name="生产期11" localSheetId="2">#REF!</definedName>
    <definedName name="生产期11" localSheetId="3">#REF!</definedName>
    <definedName name="生产期11" localSheetId="4">#REF!</definedName>
    <definedName name="生产期11" localSheetId="5">#REF!</definedName>
    <definedName name="生产期11" localSheetId="6">#REF!</definedName>
    <definedName name="生产期11" localSheetId="7">#REF!</definedName>
    <definedName name="生产期11" localSheetId="8">#REF!</definedName>
    <definedName name="生产期11" localSheetId="9">#REF!</definedName>
    <definedName name="生产期11" localSheetId="10">#REF!</definedName>
    <definedName name="生产期11" localSheetId="0">#REF!</definedName>
    <definedName name="生产期11" localSheetId="15">#REF!</definedName>
    <definedName name="生产期11">#REF!</definedName>
    <definedName name="生产期123" localSheetId="11">#REF!</definedName>
    <definedName name="生产期123" localSheetId="12">#REF!</definedName>
    <definedName name="生产期123" localSheetId="2">#REF!</definedName>
    <definedName name="生产期123" localSheetId="3">#REF!</definedName>
    <definedName name="生产期123" localSheetId="4">#REF!</definedName>
    <definedName name="生产期123" localSheetId="5">#REF!</definedName>
    <definedName name="生产期123" localSheetId="6">#REF!</definedName>
    <definedName name="生产期123" localSheetId="7">#REF!</definedName>
    <definedName name="生产期123" localSheetId="8">#REF!</definedName>
    <definedName name="生产期123" localSheetId="9">#REF!</definedName>
    <definedName name="生产期123" localSheetId="10">#REF!</definedName>
    <definedName name="生产期123" localSheetId="0">#REF!</definedName>
    <definedName name="生产期123" localSheetId="15">#REF!</definedName>
    <definedName name="生产期123">#REF!</definedName>
    <definedName name="生产期15" localSheetId="11">#REF!</definedName>
    <definedName name="生产期15" localSheetId="12">#REF!</definedName>
    <definedName name="生产期15" localSheetId="2">#REF!</definedName>
    <definedName name="生产期15" localSheetId="3">#REF!</definedName>
    <definedName name="生产期15" localSheetId="4">#REF!</definedName>
    <definedName name="生产期15" localSheetId="5">#REF!</definedName>
    <definedName name="生产期15" localSheetId="6">#REF!</definedName>
    <definedName name="生产期15" localSheetId="7">#REF!</definedName>
    <definedName name="生产期15" localSheetId="8">#REF!</definedName>
    <definedName name="生产期15" localSheetId="9">#REF!</definedName>
    <definedName name="生产期15" localSheetId="10">#REF!</definedName>
    <definedName name="生产期15" localSheetId="0">#REF!</definedName>
    <definedName name="生产期15" localSheetId="15">#REF!</definedName>
    <definedName name="生产期15">#REF!</definedName>
    <definedName name="生产期16" localSheetId="11">#REF!</definedName>
    <definedName name="生产期16" localSheetId="12">#REF!</definedName>
    <definedName name="生产期16" localSheetId="2">#REF!</definedName>
    <definedName name="生产期16" localSheetId="3">#REF!</definedName>
    <definedName name="生产期16" localSheetId="4">#REF!</definedName>
    <definedName name="生产期16" localSheetId="5">#REF!</definedName>
    <definedName name="生产期16" localSheetId="6">#REF!</definedName>
    <definedName name="生产期16" localSheetId="7">#REF!</definedName>
    <definedName name="生产期16" localSheetId="8">#REF!</definedName>
    <definedName name="生产期16" localSheetId="9">#REF!</definedName>
    <definedName name="生产期16" localSheetId="10">#REF!</definedName>
    <definedName name="生产期16" localSheetId="0">#REF!</definedName>
    <definedName name="生产期16" localSheetId="15">#REF!</definedName>
    <definedName name="生产期16">#REF!</definedName>
    <definedName name="生产期17" localSheetId="11">#REF!</definedName>
    <definedName name="生产期17" localSheetId="12">#REF!</definedName>
    <definedName name="生产期17" localSheetId="2">#REF!</definedName>
    <definedName name="生产期17" localSheetId="3">#REF!</definedName>
    <definedName name="生产期17" localSheetId="4">#REF!</definedName>
    <definedName name="生产期17" localSheetId="5">#REF!</definedName>
    <definedName name="生产期17" localSheetId="6">#REF!</definedName>
    <definedName name="生产期17" localSheetId="7">#REF!</definedName>
    <definedName name="生产期17" localSheetId="8">#REF!</definedName>
    <definedName name="生产期17" localSheetId="9">#REF!</definedName>
    <definedName name="生产期17" localSheetId="10">#REF!</definedName>
    <definedName name="生产期17" localSheetId="0">#REF!</definedName>
    <definedName name="生产期17" localSheetId="15">#REF!</definedName>
    <definedName name="生产期17">#REF!</definedName>
    <definedName name="生产期19" localSheetId="11">#REF!</definedName>
    <definedName name="生产期19" localSheetId="12">#REF!</definedName>
    <definedName name="生产期19" localSheetId="2">#REF!</definedName>
    <definedName name="生产期19" localSheetId="3">#REF!</definedName>
    <definedName name="生产期19" localSheetId="4">#REF!</definedName>
    <definedName name="生产期19" localSheetId="5">#REF!</definedName>
    <definedName name="生产期19" localSheetId="6">#REF!</definedName>
    <definedName name="生产期19" localSheetId="7">#REF!</definedName>
    <definedName name="生产期19" localSheetId="8">#REF!</definedName>
    <definedName name="生产期19" localSheetId="9">#REF!</definedName>
    <definedName name="生产期19" localSheetId="10">#REF!</definedName>
    <definedName name="生产期19" localSheetId="0">#REF!</definedName>
    <definedName name="生产期19" localSheetId="15">#REF!</definedName>
    <definedName name="生产期19">#REF!</definedName>
    <definedName name="生产期2" localSheetId="11">#REF!</definedName>
    <definedName name="生产期2" localSheetId="12">#REF!</definedName>
    <definedName name="生产期2" localSheetId="2">#REF!</definedName>
    <definedName name="生产期2" localSheetId="3">#REF!</definedName>
    <definedName name="生产期2" localSheetId="4">#REF!</definedName>
    <definedName name="生产期2" localSheetId="5">#REF!</definedName>
    <definedName name="生产期2" localSheetId="6">#REF!</definedName>
    <definedName name="生产期2" localSheetId="7">#REF!</definedName>
    <definedName name="生产期2" localSheetId="8">#REF!</definedName>
    <definedName name="生产期2" localSheetId="9">#REF!</definedName>
    <definedName name="生产期2" localSheetId="10">#REF!</definedName>
    <definedName name="生产期2" localSheetId="0">#REF!</definedName>
    <definedName name="生产期2" localSheetId="15">#REF!</definedName>
    <definedName name="生产期2">#REF!</definedName>
    <definedName name="生产期20" localSheetId="11">#REF!</definedName>
    <definedName name="生产期20" localSheetId="12">#REF!</definedName>
    <definedName name="生产期20" localSheetId="2">#REF!</definedName>
    <definedName name="生产期20" localSheetId="3">#REF!</definedName>
    <definedName name="生产期20" localSheetId="4">#REF!</definedName>
    <definedName name="生产期20" localSheetId="5">#REF!</definedName>
    <definedName name="生产期20" localSheetId="6">#REF!</definedName>
    <definedName name="生产期20" localSheetId="7">#REF!</definedName>
    <definedName name="生产期20" localSheetId="8">#REF!</definedName>
    <definedName name="生产期20" localSheetId="9">#REF!</definedName>
    <definedName name="生产期20" localSheetId="10">#REF!</definedName>
    <definedName name="生产期20" localSheetId="0">#REF!</definedName>
    <definedName name="生产期20" localSheetId="15">#REF!</definedName>
    <definedName name="生产期20">#REF!</definedName>
    <definedName name="生产期3" localSheetId="11">#REF!</definedName>
    <definedName name="生产期3" localSheetId="12">#REF!</definedName>
    <definedName name="生产期3" localSheetId="2">#REF!</definedName>
    <definedName name="生产期3" localSheetId="3">#REF!</definedName>
    <definedName name="生产期3" localSheetId="4">#REF!</definedName>
    <definedName name="生产期3" localSheetId="5">#REF!</definedName>
    <definedName name="生产期3" localSheetId="6">#REF!</definedName>
    <definedName name="生产期3" localSheetId="7">#REF!</definedName>
    <definedName name="生产期3" localSheetId="8">#REF!</definedName>
    <definedName name="生产期3" localSheetId="9">#REF!</definedName>
    <definedName name="生产期3" localSheetId="10">#REF!</definedName>
    <definedName name="生产期3" localSheetId="0">#REF!</definedName>
    <definedName name="生产期3" localSheetId="15">#REF!</definedName>
    <definedName name="生产期3">#REF!</definedName>
    <definedName name="生产期4" localSheetId="11">#REF!</definedName>
    <definedName name="生产期4" localSheetId="12">#REF!</definedName>
    <definedName name="生产期4" localSheetId="2">#REF!</definedName>
    <definedName name="生产期4" localSheetId="3">#REF!</definedName>
    <definedName name="生产期4" localSheetId="4">#REF!</definedName>
    <definedName name="生产期4" localSheetId="5">#REF!</definedName>
    <definedName name="生产期4" localSheetId="6">#REF!</definedName>
    <definedName name="生产期4" localSheetId="7">#REF!</definedName>
    <definedName name="生产期4" localSheetId="8">#REF!</definedName>
    <definedName name="生产期4" localSheetId="9">#REF!</definedName>
    <definedName name="生产期4" localSheetId="10">#REF!</definedName>
    <definedName name="生产期4" localSheetId="0">#REF!</definedName>
    <definedName name="生产期4" localSheetId="15">#REF!</definedName>
    <definedName name="生产期4">#REF!</definedName>
    <definedName name="生产期5" localSheetId="11">#REF!</definedName>
    <definedName name="生产期5" localSheetId="12">#REF!</definedName>
    <definedName name="生产期5" localSheetId="2">#REF!</definedName>
    <definedName name="生产期5" localSheetId="3">#REF!</definedName>
    <definedName name="生产期5" localSheetId="4">#REF!</definedName>
    <definedName name="生产期5" localSheetId="5">#REF!</definedName>
    <definedName name="生产期5" localSheetId="6">#REF!</definedName>
    <definedName name="生产期5" localSheetId="7">#REF!</definedName>
    <definedName name="生产期5" localSheetId="8">#REF!</definedName>
    <definedName name="生产期5" localSheetId="9">#REF!</definedName>
    <definedName name="生产期5" localSheetId="10">#REF!</definedName>
    <definedName name="生产期5" localSheetId="0">#REF!</definedName>
    <definedName name="生产期5" localSheetId="15">#REF!</definedName>
    <definedName name="生产期5">#REF!</definedName>
    <definedName name="生产期6" localSheetId="11">#REF!</definedName>
    <definedName name="生产期6" localSheetId="12">#REF!</definedName>
    <definedName name="生产期6" localSheetId="2">#REF!</definedName>
    <definedName name="生产期6" localSheetId="3">#REF!</definedName>
    <definedName name="生产期6" localSheetId="4">#REF!</definedName>
    <definedName name="生产期6" localSheetId="5">#REF!</definedName>
    <definedName name="生产期6" localSheetId="6">#REF!</definedName>
    <definedName name="生产期6" localSheetId="7">#REF!</definedName>
    <definedName name="生产期6" localSheetId="8">#REF!</definedName>
    <definedName name="生产期6" localSheetId="9">#REF!</definedName>
    <definedName name="生产期6" localSheetId="10">#REF!</definedName>
    <definedName name="生产期6" localSheetId="0">#REF!</definedName>
    <definedName name="生产期6" localSheetId="15">#REF!</definedName>
    <definedName name="生产期6">#REF!</definedName>
    <definedName name="生产期7" localSheetId="11">#REF!</definedName>
    <definedName name="生产期7" localSheetId="12">#REF!</definedName>
    <definedName name="生产期7" localSheetId="2">#REF!</definedName>
    <definedName name="生产期7" localSheetId="3">#REF!</definedName>
    <definedName name="生产期7" localSheetId="4">#REF!</definedName>
    <definedName name="生产期7" localSheetId="5">#REF!</definedName>
    <definedName name="生产期7" localSheetId="6">#REF!</definedName>
    <definedName name="生产期7" localSheetId="7">#REF!</definedName>
    <definedName name="生产期7" localSheetId="8">#REF!</definedName>
    <definedName name="生产期7" localSheetId="9">#REF!</definedName>
    <definedName name="生产期7" localSheetId="10">#REF!</definedName>
    <definedName name="生产期7" localSheetId="0">#REF!</definedName>
    <definedName name="生产期7" localSheetId="15">#REF!</definedName>
    <definedName name="生产期7">#REF!</definedName>
    <definedName name="生产期8" localSheetId="11">#REF!</definedName>
    <definedName name="生产期8" localSheetId="12">#REF!</definedName>
    <definedName name="生产期8" localSheetId="2">#REF!</definedName>
    <definedName name="生产期8" localSheetId="3">#REF!</definedName>
    <definedName name="生产期8" localSheetId="4">#REF!</definedName>
    <definedName name="生产期8" localSheetId="5">#REF!</definedName>
    <definedName name="生产期8" localSheetId="6">#REF!</definedName>
    <definedName name="生产期8" localSheetId="7">#REF!</definedName>
    <definedName name="生产期8" localSheetId="8">#REF!</definedName>
    <definedName name="生产期8" localSheetId="9">#REF!</definedName>
    <definedName name="生产期8" localSheetId="10">#REF!</definedName>
    <definedName name="生产期8" localSheetId="0">#REF!</definedName>
    <definedName name="生产期8" localSheetId="15">#REF!</definedName>
    <definedName name="生产期8">#REF!</definedName>
    <definedName name="生产期9" localSheetId="11">#REF!</definedName>
    <definedName name="生产期9" localSheetId="12">#REF!</definedName>
    <definedName name="生产期9" localSheetId="2">#REF!</definedName>
    <definedName name="生产期9" localSheetId="3">#REF!</definedName>
    <definedName name="生产期9" localSheetId="4">#REF!</definedName>
    <definedName name="生产期9" localSheetId="5">#REF!</definedName>
    <definedName name="生产期9" localSheetId="6">#REF!</definedName>
    <definedName name="生产期9" localSheetId="7">#REF!</definedName>
    <definedName name="生产期9" localSheetId="8">#REF!</definedName>
    <definedName name="生产期9" localSheetId="9">#REF!</definedName>
    <definedName name="生产期9" localSheetId="10">#REF!</definedName>
    <definedName name="生产期9" localSheetId="0">#REF!</definedName>
    <definedName name="生产期9" localSheetId="15">#REF!</definedName>
    <definedName name="生产期9">#REF!</definedName>
    <definedName name="事业发展支出" localSheetId="0">[47]事业发展!$E$4:$E$184</definedName>
    <definedName name="事业发展支出">[48]事业发展!$E$4:$E$184</definedName>
    <definedName name="是" localSheetId="11">#REF!</definedName>
    <definedName name="是" localSheetId="12">#REF!</definedName>
    <definedName name="是" localSheetId="2">#REF!</definedName>
    <definedName name="是" localSheetId="3">#REF!</definedName>
    <definedName name="是" localSheetId="4">#REF!</definedName>
    <definedName name="是" localSheetId="5">#REF!</definedName>
    <definedName name="是" localSheetId="6">#REF!</definedName>
    <definedName name="是" localSheetId="7">#REF!</definedName>
    <definedName name="是" localSheetId="8">#REF!</definedName>
    <definedName name="是" localSheetId="9">#REF!</definedName>
    <definedName name="是" localSheetId="10">#REF!</definedName>
    <definedName name="是" localSheetId="0">#REF!</definedName>
    <definedName name="是" localSheetId="15">#REF!</definedName>
    <definedName name="是">#REF!</definedName>
    <definedName name="所得税" localSheetId="11">#REF!</definedName>
    <definedName name="所得税" localSheetId="12">#REF!</definedName>
    <definedName name="所得税" localSheetId="2">#REF!</definedName>
    <definedName name="所得税" localSheetId="3">#REF!</definedName>
    <definedName name="所得税" localSheetId="4">#REF!</definedName>
    <definedName name="所得税" localSheetId="5">#REF!</definedName>
    <definedName name="所得税" localSheetId="6">#REF!</definedName>
    <definedName name="所得税" localSheetId="7">#REF!</definedName>
    <definedName name="所得税" localSheetId="8">#REF!</definedName>
    <definedName name="所得税" localSheetId="9">#REF!</definedName>
    <definedName name="所得税" localSheetId="10">#REF!</definedName>
    <definedName name="所得税" localSheetId="15">#REF!</definedName>
    <definedName name="所得税">#REF!</definedName>
    <definedName name="投资收入比" localSheetId="11">#REF!</definedName>
    <definedName name="投资收入比" localSheetId="12">#REF!</definedName>
    <definedName name="投资收入比" localSheetId="2">#REF!</definedName>
    <definedName name="投资收入比" localSheetId="3">#REF!</definedName>
    <definedName name="投资收入比" localSheetId="4">#REF!</definedName>
    <definedName name="投资收入比" localSheetId="5">#REF!</definedName>
    <definedName name="投资收入比" localSheetId="6">#REF!</definedName>
    <definedName name="投资收入比" localSheetId="7">#REF!</definedName>
    <definedName name="投资收入比" localSheetId="8">#REF!</definedName>
    <definedName name="投资收入比" localSheetId="9">#REF!</definedName>
    <definedName name="投资收入比" localSheetId="10">#REF!</definedName>
    <definedName name="投资收入比" localSheetId="15">#REF!</definedName>
    <definedName name="投资收入比">#REF!</definedName>
    <definedName name="维修费用" localSheetId="11">#REF!</definedName>
    <definedName name="维修费用" localSheetId="12">#REF!</definedName>
    <definedName name="维修费用" localSheetId="2">#REF!</definedName>
    <definedName name="维修费用" localSheetId="3">#REF!</definedName>
    <definedName name="维修费用" localSheetId="4">#REF!</definedName>
    <definedName name="维修费用" localSheetId="5">#REF!</definedName>
    <definedName name="维修费用" localSheetId="6">#REF!</definedName>
    <definedName name="维修费用" localSheetId="7">#REF!</definedName>
    <definedName name="维修费用" localSheetId="8">#REF!</definedName>
    <definedName name="维修费用" localSheetId="9">#REF!</definedName>
    <definedName name="维修费用" localSheetId="10">#REF!</definedName>
    <definedName name="维修费用" localSheetId="15">#REF!</definedName>
    <definedName name="维修费用">#REF!</definedName>
    <definedName name="位次d" localSheetId="11">[49]四月份月报!#REF!</definedName>
    <definedName name="位次d" localSheetId="12">[49]四月份月报!#REF!</definedName>
    <definedName name="位次d" localSheetId="2">[49]四月份月报!#REF!</definedName>
    <definedName name="位次d" localSheetId="3">[49]四月份月报!#REF!</definedName>
    <definedName name="位次d" localSheetId="4">[49]四月份月报!#REF!</definedName>
    <definedName name="位次d" localSheetId="5">[49]四月份月报!#REF!</definedName>
    <definedName name="位次d" localSheetId="6">[49]四月份月报!#REF!</definedName>
    <definedName name="位次d" localSheetId="7">[49]四月份月报!#REF!</definedName>
    <definedName name="位次d" localSheetId="8">[49]四月份月报!#REF!</definedName>
    <definedName name="位次d" localSheetId="9">[49]四月份月报!#REF!</definedName>
    <definedName name="位次d" localSheetId="10">[49]四月份月报!#REF!</definedName>
    <definedName name="位次d" localSheetId="0">[50]四月份月报!#REF!</definedName>
    <definedName name="位次d" localSheetId="15">[49]四月份月报!#REF!</definedName>
    <definedName name="位次d">[49]四月份月报!#REF!</definedName>
    <definedName name="乡镇个数" localSheetId="0">[51]行政区划!$D$6:$D$184</definedName>
    <definedName name="乡镇个数">[52]行政区划!$D$6:$D$184</definedName>
    <definedName name="消声器2800" localSheetId="11">#REF!</definedName>
    <definedName name="消声器2800" localSheetId="12">#REF!</definedName>
    <definedName name="消声器2800" localSheetId="2">#REF!</definedName>
    <definedName name="消声器2800" localSheetId="3">#REF!</definedName>
    <definedName name="消声器2800" localSheetId="4">#REF!</definedName>
    <definedName name="消声器2800" localSheetId="5">#REF!</definedName>
    <definedName name="消声器2800" localSheetId="6">#REF!</definedName>
    <definedName name="消声器2800" localSheetId="7">#REF!</definedName>
    <definedName name="消声器2800" localSheetId="8">#REF!</definedName>
    <definedName name="消声器2800" localSheetId="9">#REF!</definedName>
    <definedName name="消声器2800" localSheetId="10">#REF!</definedName>
    <definedName name="消声器2800" localSheetId="15">#REF!</definedName>
    <definedName name="消声器2800">#REF!</definedName>
    <definedName name="消声器4000" localSheetId="11">#REF!</definedName>
    <definedName name="消声器4000" localSheetId="12">#REF!</definedName>
    <definedName name="消声器4000" localSheetId="2">#REF!</definedName>
    <definedName name="消声器4000" localSheetId="3">#REF!</definedName>
    <definedName name="消声器4000" localSheetId="4">#REF!</definedName>
    <definedName name="消声器4000" localSheetId="5">#REF!</definedName>
    <definedName name="消声器4000" localSheetId="6">#REF!</definedName>
    <definedName name="消声器4000" localSheetId="7">#REF!</definedName>
    <definedName name="消声器4000" localSheetId="8">#REF!</definedName>
    <definedName name="消声器4000" localSheetId="9">#REF!</definedName>
    <definedName name="消声器4000" localSheetId="10">#REF!</definedName>
    <definedName name="消声器4000" localSheetId="15">#REF!</definedName>
    <definedName name="消声器4000">#REF!</definedName>
    <definedName name="消声器5000" localSheetId="11">#REF!</definedName>
    <definedName name="消声器5000" localSheetId="12">#REF!</definedName>
    <definedName name="消声器5000" localSheetId="2">#REF!</definedName>
    <definedName name="消声器5000" localSheetId="3">#REF!</definedName>
    <definedName name="消声器5000" localSheetId="4">#REF!</definedName>
    <definedName name="消声器5000" localSheetId="5">#REF!</definedName>
    <definedName name="消声器5000" localSheetId="6">#REF!</definedName>
    <definedName name="消声器5000" localSheetId="7">#REF!</definedName>
    <definedName name="消声器5000" localSheetId="8">#REF!</definedName>
    <definedName name="消声器5000" localSheetId="9">#REF!</definedName>
    <definedName name="消声器5000" localSheetId="10">#REF!</definedName>
    <definedName name="消声器5000" localSheetId="15">#REF!</definedName>
    <definedName name="消声器5000">#REF!</definedName>
    <definedName name="消声器6400" localSheetId="11">#REF!</definedName>
    <definedName name="消声器6400" localSheetId="12">#REF!</definedName>
    <definedName name="消声器6400" localSheetId="2">#REF!</definedName>
    <definedName name="消声器6400" localSheetId="3">#REF!</definedName>
    <definedName name="消声器6400" localSheetId="4">#REF!</definedName>
    <definedName name="消声器6400" localSheetId="5">#REF!</definedName>
    <definedName name="消声器6400" localSheetId="6">#REF!</definedName>
    <definedName name="消声器6400" localSheetId="7">#REF!</definedName>
    <definedName name="消声器6400" localSheetId="8">#REF!</definedName>
    <definedName name="消声器6400" localSheetId="9">#REF!</definedName>
    <definedName name="消声器6400" localSheetId="10">#REF!</definedName>
    <definedName name="消声器6400" localSheetId="15">#REF!</definedName>
    <definedName name="消声器6400">#REF!</definedName>
    <definedName name="消声器7600" localSheetId="11">#REF!</definedName>
    <definedName name="消声器7600" localSheetId="12">#REF!</definedName>
    <definedName name="消声器7600" localSheetId="2">#REF!</definedName>
    <definedName name="消声器7600" localSheetId="3">#REF!</definedName>
    <definedName name="消声器7600" localSheetId="4">#REF!</definedName>
    <definedName name="消声器7600" localSheetId="5">#REF!</definedName>
    <definedName name="消声器7600" localSheetId="6">#REF!</definedName>
    <definedName name="消声器7600" localSheetId="7">#REF!</definedName>
    <definedName name="消声器7600" localSheetId="8">#REF!</definedName>
    <definedName name="消声器7600" localSheetId="9">#REF!</definedName>
    <definedName name="消声器7600" localSheetId="10">#REF!</definedName>
    <definedName name="消声器7600" localSheetId="15">#REF!</definedName>
    <definedName name="消声器7600">#REF!</definedName>
    <definedName name="销售净利率" localSheetId="11">#REF!</definedName>
    <definedName name="销售净利率" localSheetId="12">#REF!</definedName>
    <definedName name="销售净利率" localSheetId="2">#REF!</definedName>
    <definedName name="销售净利率" localSheetId="3">#REF!</definedName>
    <definedName name="销售净利率" localSheetId="4">#REF!</definedName>
    <definedName name="销售净利率" localSheetId="5">#REF!</definedName>
    <definedName name="销售净利率" localSheetId="6">#REF!</definedName>
    <definedName name="销售净利率" localSheetId="7">#REF!</definedName>
    <definedName name="销售净利率" localSheetId="8">#REF!</definedName>
    <definedName name="销售净利率" localSheetId="9">#REF!</definedName>
    <definedName name="销售净利率" localSheetId="10">#REF!</definedName>
    <definedName name="销售净利率" localSheetId="15">#REF!</definedName>
    <definedName name="销售净利率">#REF!</definedName>
    <definedName name="销售收入" localSheetId="11">#REF!</definedName>
    <definedName name="销售收入" localSheetId="12">#REF!</definedName>
    <definedName name="销售收入" localSheetId="2">#REF!</definedName>
    <definedName name="销售收入" localSheetId="3">#REF!</definedName>
    <definedName name="销售收入" localSheetId="4">#REF!</definedName>
    <definedName name="销售收入" localSheetId="5">#REF!</definedName>
    <definedName name="销售收入" localSheetId="6">#REF!</definedName>
    <definedName name="销售收入" localSheetId="7">#REF!</definedName>
    <definedName name="销售收入" localSheetId="8">#REF!</definedName>
    <definedName name="销售收入" localSheetId="9">#REF!</definedName>
    <definedName name="销售收入" localSheetId="10">#REF!</definedName>
    <definedName name="销售收入" localSheetId="15">#REF!</definedName>
    <definedName name="销售收入">#REF!</definedName>
    <definedName name="小灵通ARPU" localSheetId="11">#REF!</definedName>
    <definedName name="小灵通ARPU" localSheetId="12">#REF!</definedName>
    <definedName name="小灵通ARPU" localSheetId="2">#REF!</definedName>
    <definedName name="小灵通ARPU" localSheetId="3">#REF!</definedName>
    <definedName name="小灵通ARPU" localSheetId="4">#REF!</definedName>
    <definedName name="小灵通ARPU" localSheetId="5">#REF!</definedName>
    <definedName name="小灵通ARPU" localSheetId="6">#REF!</definedName>
    <definedName name="小灵通ARPU" localSheetId="7">#REF!</definedName>
    <definedName name="小灵通ARPU" localSheetId="8">#REF!</definedName>
    <definedName name="小灵通ARPU" localSheetId="9">#REF!</definedName>
    <definedName name="小灵通ARPU" localSheetId="10">#REF!</definedName>
    <definedName name="小灵通ARPU" localSheetId="15">#REF!</definedName>
    <definedName name="小灵通ARPU">#REF!</definedName>
    <definedName name="小灵通收入" localSheetId="11">#REF!</definedName>
    <definedName name="小灵通收入" localSheetId="12">#REF!</definedName>
    <definedName name="小灵通收入" localSheetId="2">#REF!</definedName>
    <definedName name="小灵通收入" localSheetId="3">#REF!</definedName>
    <definedName name="小灵通收入" localSheetId="4">#REF!</definedName>
    <definedName name="小灵通收入" localSheetId="5">#REF!</definedName>
    <definedName name="小灵通收入" localSheetId="6">#REF!</definedName>
    <definedName name="小灵通收入" localSheetId="7">#REF!</definedName>
    <definedName name="小灵通收入" localSheetId="8">#REF!</definedName>
    <definedName name="小灵通收入" localSheetId="9">#REF!</definedName>
    <definedName name="小灵通收入" localSheetId="10">#REF!</definedName>
    <definedName name="小灵通收入" localSheetId="15">#REF!</definedName>
    <definedName name="小灵通收入">#REF!</definedName>
    <definedName name="小灵通用户" localSheetId="11">#REF!</definedName>
    <definedName name="小灵通用户" localSheetId="12">#REF!</definedName>
    <definedName name="小灵通用户" localSheetId="2">#REF!</definedName>
    <definedName name="小灵通用户" localSheetId="3">#REF!</definedName>
    <definedName name="小灵通用户" localSheetId="4">#REF!</definedName>
    <definedName name="小灵通用户" localSheetId="5">#REF!</definedName>
    <definedName name="小灵通用户" localSheetId="6">#REF!</definedName>
    <definedName name="小灵通用户" localSheetId="7">#REF!</definedName>
    <definedName name="小灵通用户" localSheetId="8">#REF!</definedName>
    <definedName name="小灵通用户" localSheetId="9">#REF!</definedName>
    <definedName name="小灵通用户" localSheetId="10">#REF!</definedName>
    <definedName name="小灵通用户" localSheetId="15">#REF!</definedName>
    <definedName name="小灵通用户">#REF!</definedName>
    <definedName name="新工程资金支出汇总表" localSheetId="11">#REF!</definedName>
    <definedName name="新工程资金支出汇总表" localSheetId="12">#REF!</definedName>
    <definedName name="新工程资金支出汇总表" localSheetId="2">#REF!</definedName>
    <definedName name="新工程资金支出汇总表" localSheetId="3">#REF!</definedName>
    <definedName name="新工程资金支出汇总表" localSheetId="4">#REF!</definedName>
    <definedName name="新工程资金支出汇总表" localSheetId="5">#REF!</definedName>
    <definedName name="新工程资金支出汇总表" localSheetId="6">#REF!</definedName>
    <definedName name="新工程资金支出汇总表" localSheetId="7">#REF!</definedName>
    <definedName name="新工程资金支出汇总表" localSheetId="8">#REF!</definedName>
    <definedName name="新工程资金支出汇总表" localSheetId="9">#REF!</definedName>
    <definedName name="新工程资金支出汇总表" localSheetId="10">#REF!</definedName>
    <definedName name="新工程资金支出汇总表" localSheetId="15">#REF!</definedName>
    <definedName name="新工程资金支出汇总表">#REF!</definedName>
    <definedName name="行政管理部门编制数" localSheetId="0">[35]行政编制!$E$4:$E$184</definedName>
    <definedName name="行政管理部门编制数">[36]行政编制!$E$4:$E$184</definedName>
    <definedName name="性别" localSheetId="0">[53]基础编码!$H$2:$H$3</definedName>
    <definedName name="性别">[54]基础编码!$H$2:$H$3</definedName>
    <definedName name="学历" localSheetId="0">[53]基础编码!$S$2:$S$9</definedName>
    <definedName name="学历">[54]基础编码!$S$2:$S$9</definedName>
    <definedName name="一般预算收入2002年" localSheetId="0">'[55]2002年一般预算收入'!$AC$4:$AC$184</definedName>
    <definedName name="一般预算收入2002年">'[56]2002年一般预算收入'!$AC$4:$AC$184</definedName>
    <definedName name="一般预算收入2003年" localSheetId="0">[31]一般预算收入!$AD$4:$AD$184</definedName>
    <definedName name="一般预算收入2003年">[32]一般预算收入!$AD$4:$AD$184</definedName>
    <definedName name="一般预算收入合计2003年" localSheetId="0">[31]一般预算收入!$AC$4</definedName>
    <definedName name="一般预算收入合计2003年">[32]一般预算收入!$AC$4</definedName>
    <definedName name="营业费用" localSheetId="11">#REF!</definedName>
    <definedName name="营业费用" localSheetId="12">#REF!</definedName>
    <definedName name="营业费用" localSheetId="2">#REF!</definedName>
    <definedName name="营业费用" localSheetId="3">#REF!</definedName>
    <definedName name="营业费用" localSheetId="4">#REF!</definedName>
    <definedName name="营业费用" localSheetId="5">#REF!</definedName>
    <definedName name="营业费用" localSheetId="6">#REF!</definedName>
    <definedName name="营业费用" localSheetId="7">#REF!</definedName>
    <definedName name="营业费用" localSheetId="8">#REF!</definedName>
    <definedName name="营业费用" localSheetId="9">#REF!</definedName>
    <definedName name="营业费用" localSheetId="10">#REF!</definedName>
    <definedName name="营业费用" localSheetId="15">#REF!</definedName>
    <definedName name="营业费用">#REF!</definedName>
    <definedName name="月份" localSheetId="11">#REF!</definedName>
    <definedName name="月份" localSheetId="12">#REF!</definedName>
    <definedName name="月份" localSheetId="2">#REF!</definedName>
    <definedName name="月份" localSheetId="3">#REF!</definedName>
    <definedName name="月份" localSheetId="4">#REF!</definedName>
    <definedName name="月份" localSheetId="5">#REF!</definedName>
    <definedName name="月份" localSheetId="6">#REF!</definedName>
    <definedName name="月份" localSheetId="7">#REF!</definedName>
    <definedName name="月份" localSheetId="8">#REF!</definedName>
    <definedName name="月份" localSheetId="9">#REF!</definedName>
    <definedName name="月份" localSheetId="10">#REF!</definedName>
    <definedName name="月份" localSheetId="15">#REF!</definedName>
    <definedName name="月份">#REF!</definedName>
    <definedName name="窄带ARPU" localSheetId="11">#REF!</definedName>
    <definedName name="窄带ARPU" localSheetId="12">#REF!</definedName>
    <definedName name="窄带ARPU" localSheetId="2">#REF!</definedName>
    <definedName name="窄带ARPU" localSheetId="3">#REF!</definedName>
    <definedName name="窄带ARPU" localSheetId="4">#REF!</definedName>
    <definedName name="窄带ARPU" localSheetId="5">#REF!</definedName>
    <definedName name="窄带ARPU" localSheetId="6">#REF!</definedName>
    <definedName name="窄带ARPU" localSheetId="7">#REF!</definedName>
    <definedName name="窄带ARPU" localSheetId="8">#REF!</definedName>
    <definedName name="窄带ARPU" localSheetId="9">#REF!</definedName>
    <definedName name="窄带ARPU" localSheetId="10">#REF!</definedName>
    <definedName name="窄带ARPU" localSheetId="15">#REF!</definedName>
    <definedName name="窄带ARPU">#REF!</definedName>
    <definedName name="窄带收入" localSheetId="11">#REF!</definedName>
    <definedName name="窄带收入" localSheetId="12">#REF!</definedName>
    <definedName name="窄带收入" localSheetId="2">#REF!</definedName>
    <definedName name="窄带收入" localSheetId="3">#REF!</definedName>
    <definedName name="窄带收入" localSheetId="4">#REF!</definedName>
    <definedName name="窄带收入" localSheetId="5">#REF!</definedName>
    <definedName name="窄带收入" localSheetId="6">#REF!</definedName>
    <definedName name="窄带收入" localSheetId="7">#REF!</definedName>
    <definedName name="窄带收入" localSheetId="8">#REF!</definedName>
    <definedName name="窄带收入" localSheetId="9">#REF!</definedName>
    <definedName name="窄带收入" localSheetId="10">#REF!</definedName>
    <definedName name="窄带收入" localSheetId="15">#REF!</definedName>
    <definedName name="窄带收入">#REF!</definedName>
    <definedName name="窄带用户" localSheetId="11">#REF!</definedName>
    <definedName name="窄带用户" localSheetId="12">#REF!</definedName>
    <definedName name="窄带用户" localSheetId="2">#REF!</definedName>
    <definedName name="窄带用户" localSheetId="3">#REF!</definedName>
    <definedName name="窄带用户" localSheetId="4">#REF!</definedName>
    <definedName name="窄带用户" localSheetId="5">#REF!</definedName>
    <definedName name="窄带用户" localSheetId="6">#REF!</definedName>
    <definedName name="窄带用户" localSheetId="7">#REF!</definedName>
    <definedName name="窄带用户" localSheetId="8">#REF!</definedName>
    <definedName name="窄带用户" localSheetId="9">#REF!</definedName>
    <definedName name="窄带用户" localSheetId="10">#REF!</definedName>
    <definedName name="窄带用户" localSheetId="15">#REF!</definedName>
    <definedName name="窄带用户">#REF!</definedName>
    <definedName name="支出">[28]P1012001!$A$6:$E$117</definedName>
    <definedName name="中国" localSheetId="11">#REF!</definedName>
    <definedName name="中国" localSheetId="12">#REF!</definedName>
    <definedName name="中国" localSheetId="2">#REF!</definedName>
    <definedName name="中国" localSheetId="3">#REF!</definedName>
    <definedName name="中国" localSheetId="4">#REF!</definedName>
    <definedName name="中国" localSheetId="5">#REF!</definedName>
    <definedName name="中国" localSheetId="6">#REF!</definedName>
    <definedName name="中国" localSheetId="7">#REF!</definedName>
    <definedName name="中国" localSheetId="8">#REF!</definedName>
    <definedName name="中国" localSheetId="9">#REF!</definedName>
    <definedName name="中国" localSheetId="10">#REF!</definedName>
    <definedName name="中国" localSheetId="0">#REF!</definedName>
    <definedName name="中国" localSheetId="15">#REF!</definedName>
    <definedName name="中国">#REF!</definedName>
    <definedName name="中小学生人数2003年" localSheetId="0">[57]中小学生!$E$4:$E$184</definedName>
    <definedName name="中小学生人数2003年">[58]中小学生!$E$4:$E$184</definedName>
    <definedName name="资产负债率" localSheetId="11">#REF!</definedName>
    <definedName name="资产负债率" localSheetId="12">#REF!</definedName>
    <definedName name="资产负债率" localSheetId="2">#REF!</definedName>
    <definedName name="资产负债率" localSheetId="3">#REF!</definedName>
    <definedName name="资产负债率" localSheetId="4">#REF!</definedName>
    <definedName name="资产负债率" localSheetId="5">#REF!</definedName>
    <definedName name="资产负债率" localSheetId="6">#REF!</definedName>
    <definedName name="资产负债率" localSheetId="7">#REF!</definedName>
    <definedName name="资产负债率" localSheetId="8">#REF!</definedName>
    <definedName name="资产负债率" localSheetId="9">#REF!</definedName>
    <definedName name="资产负债率" localSheetId="10">#REF!</definedName>
    <definedName name="资产负债率" localSheetId="15">#REF!</definedName>
    <definedName name="资产负债率">#REF!</definedName>
    <definedName name="资产净利率" localSheetId="11">#REF!</definedName>
    <definedName name="资产净利率" localSheetId="12">#REF!</definedName>
    <definedName name="资产净利率" localSheetId="2">#REF!</definedName>
    <definedName name="资产净利率" localSheetId="3">#REF!</definedName>
    <definedName name="资产净利率" localSheetId="4">#REF!</definedName>
    <definedName name="资产净利率" localSheetId="5">#REF!</definedName>
    <definedName name="资产净利率" localSheetId="6">#REF!</definedName>
    <definedName name="资产净利率" localSheetId="7">#REF!</definedName>
    <definedName name="资产净利率" localSheetId="8">#REF!</definedName>
    <definedName name="资产净利率" localSheetId="9">#REF!</definedName>
    <definedName name="资产净利率" localSheetId="10">#REF!</definedName>
    <definedName name="资产净利率" localSheetId="15">#REF!</definedName>
    <definedName name="资产净利率">#REF!</definedName>
    <definedName name="资产周转率" localSheetId="11">#REF!</definedName>
    <definedName name="资产周转率" localSheetId="12">#REF!</definedName>
    <definedName name="资产周转率" localSheetId="2">#REF!</definedName>
    <definedName name="资产周转率" localSheetId="3">#REF!</definedName>
    <definedName name="资产周转率" localSheetId="4">#REF!</definedName>
    <definedName name="资产周转率" localSheetId="5">#REF!</definedName>
    <definedName name="资产周转率" localSheetId="6">#REF!</definedName>
    <definedName name="资产周转率" localSheetId="7">#REF!</definedName>
    <definedName name="资产周转率" localSheetId="8">#REF!</definedName>
    <definedName name="资产周转率" localSheetId="9">#REF!</definedName>
    <definedName name="资产周转率" localSheetId="10">#REF!</definedName>
    <definedName name="资产周转率" localSheetId="15">#REF!</definedName>
    <definedName name="资产周转率">#REF!</definedName>
    <definedName name="总人口2003年" localSheetId="0">[58]总人口!$E$4:$E$184</definedName>
    <definedName name="전" localSheetId="11">#REF!</definedName>
    <definedName name="전" localSheetId="12">#REF!</definedName>
    <definedName name="전" localSheetId="2">#REF!</definedName>
    <definedName name="전" localSheetId="3">#REF!</definedName>
    <definedName name="전" localSheetId="4">#REF!</definedName>
    <definedName name="전" localSheetId="5">#REF!</definedName>
    <definedName name="전" localSheetId="6">#REF!</definedName>
    <definedName name="전" localSheetId="7">#REF!</definedName>
    <definedName name="전" localSheetId="8">#REF!</definedName>
    <definedName name="전" localSheetId="9">#REF!</definedName>
    <definedName name="전" localSheetId="10">#REF!</definedName>
    <definedName name="전" localSheetId="0">#REF!</definedName>
    <definedName name="전" localSheetId="15">#REF!</definedName>
    <definedName name="전">#REF!</definedName>
    <definedName name="주택사업본부" localSheetId="11">#REF!</definedName>
    <definedName name="주택사업본부" localSheetId="12">#REF!</definedName>
    <definedName name="주택사업본부" localSheetId="2">#REF!</definedName>
    <definedName name="주택사업본부" localSheetId="3">#REF!</definedName>
    <definedName name="주택사업본부" localSheetId="4">#REF!</definedName>
    <definedName name="주택사업본부" localSheetId="5">#REF!</definedName>
    <definedName name="주택사업본부" localSheetId="6">#REF!</definedName>
    <definedName name="주택사업본부" localSheetId="7">#REF!</definedName>
    <definedName name="주택사업본부" localSheetId="8">#REF!</definedName>
    <definedName name="주택사업본부" localSheetId="9">#REF!</definedName>
    <definedName name="주택사업본부" localSheetId="10">#REF!</definedName>
    <definedName name="주택사업본부" localSheetId="0">#REF!</definedName>
    <definedName name="주택사업본부" localSheetId="15">#REF!</definedName>
    <definedName name="주택사업본부">#REF!</definedName>
    <definedName name="철구사업본부" localSheetId="11">#REF!</definedName>
    <definedName name="철구사업본부" localSheetId="12">#REF!</definedName>
    <definedName name="철구사업본부" localSheetId="2">#REF!</definedName>
    <definedName name="철구사업본부" localSheetId="3">#REF!</definedName>
    <definedName name="철구사업본부" localSheetId="4">#REF!</definedName>
    <definedName name="철구사업본부" localSheetId="5">#REF!</definedName>
    <definedName name="철구사업본부" localSheetId="6">#REF!</definedName>
    <definedName name="철구사업본부" localSheetId="7">#REF!</definedName>
    <definedName name="철구사업본부" localSheetId="8">#REF!</definedName>
    <definedName name="철구사업본부" localSheetId="9">#REF!</definedName>
    <definedName name="철구사업본부" localSheetId="10">#REF!</definedName>
    <definedName name="철구사업본부" localSheetId="0">#REF!</definedName>
    <definedName name="철구사업본부" localSheetId="15">#REF!</definedName>
    <definedName name="철구사업본부">#REF!</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7" i="30" l="1"/>
  <c r="F166" i="30"/>
  <c r="F165" i="30"/>
  <c r="F164" i="30"/>
  <c r="F163" i="30"/>
  <c r="F162" i="30"/>
  <c r="F161" i="30"/>
  <c r="F160" i="30"/>
  <c r="F159" i="30"/>
  <c r="F158" i="30"/>
  <c r="F157" i="30"/>
  <c r="F156" i="30"/>
  <c r="F155" i="30"/>
  <c r="F154" i="30"/>
  <c r="F153" i="30"/>
  <c r="F152" i="30"/>
  <c r="F151" i="30"/>
  <c r="F150" i="30"/>
  <c r="F149" i="30"/>
  <c r="F148" i="30"/>
  <c r="F147" i="30"/>
  <c r="F146" i="30"/>
  <c r="F145" i="30"/>
  <c r="F144" i="30"/>
  <c r="F143" i="30"/>
  <c r="F142" i="30"/>
  <c r="F141" i="30"/>
  <c r="F140" i="30"/>
  <c r="F139" i="30"/>
  <c r="F138" i="30"/>
  <c r="F137" i="30"/>
  <c r="F136" i="30"/>
  <c r="F135" i="30"/>
  <c r="F134" i="30"/>
  <c r="F133" i="30"/>
  <c r="F132" i="30"/>
  <c r="F131" i="30"/>
  <c r="F130" i="30"/>
  <c r="F129" i="30"/>
  <c r="F128" i="30"/>
  <c r="F127" i="30"/>
  <c r="F126" i="30"/>
  <c r="F125" i="30"/>
  <c r="F124" i="30"/>
  <c r="F123" i="30"/>
  <c r="F122" i="30"/>
  <c r="F121" i="30"/>
  <c r="F120" i="30"/>
  <c r="F119" i="30"/>
  <c r="F118" i="30"/>
  <c r="F117" i="30"/>
  <c r="F116" i="30"/>
  <c r="F115" i="30"/>
  <c r="F114" i="30"/>
  <c r="F113" i="30"/>
  <c r="F112" i="30"/>
  <c r="F111" i="30"/>
  <c r="F110" i="30"/>
  <c r="F109" i="30"/>
  <c r="F108" i="30"/>
  <c r="F107" i="30"/>
  <c r="F106" i="30"/>
  <c r="F105" i="30"/>
  <c r="F104" i="30"/>
  <c r="F103" i="30"/>
  <c r="F102" i="30"/>
  <c r="F101" i="30"/>
  <c r="F100" i="30"/>
  <c r="F99" i="30"/>
  <c r="F98" i="30"/>
  <c r="F97" i="30"/>
  <c r="F96" i="30"/>
  <c r="F95" i="30"/>
  <c r="F94" i="30"/>
  <c r="H93" i="30"/>
  <c r="F93" i="30"/>
  <c r="F92" i="30"/>
  <c r="F91" i="30"/>
  <c r="F90" i="30"/>
  <c r="F89" i="30"/>
  <c r="F88" i="30"/>
  <c r="F87" i="30"/>
  <c r="F86" i="30"/>
  <c r="F85" i="30"/>
  <c r="F84" i="30"/>
  <c r="F83" i="30"/>
  <c r="F82" i="30"/>
  <c r="F81" i="30"/>
  <c r="F80" i="30"/>
  <c r="F79" i="30"/>
  <c r="F78" i="30"/>
  <c r="F77" i="30"/>
  <c r="F76" i="30"/>
  <c r="F75" i="30"/>
  <c r="F74" i="30"/>
  <c r="F73" i="30"/>
  <c r="F72" i="30"/>
  <c r="F71" i="30"/>
  <c r="F70" i="30"/>
  <c r="F69" i="30"/>
  <c r="F68" i="30"/>
  <c r="F67" i="30"/>
  <c r="F66" i="30"/>
  <c r="F65" i="30"/>
  <c r="F64" i="30"/>
  <c r="F63" i="30"/>
  <c r="F62" i="30"/>
  <c r="F61" i="30"/>
  <c r="F60" i="30"/>
  <c r="F59" i="30"/>
  <c r="F58" i="30"/>
  <c r="F57" i="30"/>
  <c r="F56" i="30"/>
  <c r="F55" i="30"/>
  <c r="F54" i="30"/>
  <c r="F53" i="30"/>
  <c r="F52" i="30"/>
  <c r="F51" i="30"/>
  <c r="F50" i="30"/>
  <c r="F49" i="30"/>
  <c r="F48" i="30"/>
  <c r="F47" i="30"/>
  <c r="F46" i="30"/>
  <c r="F45" i="30"/>
  <c r="F44" i="30"/>
  <c r="F43" i="30"/>
  <c r="F42" i="30"/>
  <c r="F41" i="30"/>
  <c r="F40" i="30"/>
  <c r="F39" i="30"/>
  <c r="F38" i="30"/>
  <c r="F37" i="30"/>
  <c r="F36" i="30"/>
  <c r="F35" i="30"/>
  <c r="F34" i="30"/>
  <c r="F33" i="30"/>
  <c r="F32" i="30"/>
  <c r="F31" i="30"/>
  <c r="F30" i="30"/>
  <c r="F29" i="30"/>
  <c r="F28" i="30"/>
  <c r="F27" i="30"/>
  <c r="F26" i="30"/>
  <c r="F25" i="30"/>
  <c r="F24" i="30"/>
  <c r="F23" i="30"/>
  <c r="H22" i="30"/>
  <c r="F22" i="30"/>
  <c r="F21" i="30"/>
  <c r="F20" i="30"/>
  <c r="F19" i="30"/>
  <c r="F18" i="30"/>
  <c r="F17" i="30"/>
  <c r="F16" i="30"/>
  <c r="F15" i="30"/>
  <c r="F14" i="30"/>
  <c r="F13" i="30"/>
  <c r="F12" i="30"/>
  <c r="F11" i="30"/>
  <c r="F168" i="30" s="1"/>
  <c r="F10" i="30"/>
  <c r="F9" i="30"/>
  <c r="F8" i="30"/>
  <c r="F7" i="30"/>
  <c r="F6" i="30"/>
  <c r="F141" i="7"/>
  <c r="F140" i="7"/>
  <c r="F139" i="7"/>
  <c r="F138" i="7"/>
  <c r="F137" i="7"/>
  <c r="F136" i="7"/>
  <c r="F135" i="7"/>
  <c r="F134" i="7"/>
  <c r="F133" i="7"/>
  <c r="F132" i="7"/>
  <c r="F131" i="7"/>
  <c r="F130" i="7"/>
  <c r="F129" i="7"/>
  <c r="F128" i="7"/>
  <c r="F127" i="7"/>
  <c r="F126" i="7"/>
  <c r="F125" i="7"/>
  <c r="F124" i="7"/>
  <c r="F123" i="7"/>
  <c r="F122" i="7"/>
  <c r="F121" i="7"/>
  <c r="F120" i="7"/>
  <c r="F119" i="7"/>
  <c r="F118" i="7"/>
  <c r="F117" i="7"/>
  <c r="F116" i="7"/>
  <c r="F115" i="7"/>
  <c r="F114" i="7"/>
  <c r="F113" i="7"/>
  <c r="F112" i="7"/>
  <c r="F111" i="7"/>
  <c r="F110" i="7"/>
  <c r="F109" i="7"/>
  <c r="F108" i="7"/>
  <c r="F107" i="7"/>
  <c r="F106" i="7"/>
  <c r="F105" i="7"/>
  <c r="F104" i="7"/>
  <c r="F103" i="7"/>
  <c r="F102" i="7"/>
  <c r="F101" i="7"/>
  <c r="F100" i="7"/>
  <c r="F99" i="7"/>
  <c r="F98" i="7"/>
  <c r="F97" i="7"/>
  <c r="F96" i="7"/>
  <c r="F95" i="7"/>
  <c r="F94" i="7"/>
  <c r="F93" i="7"/>
  <c r="F92" i="7"/>
  <c r="F91" i="7"/>
  <c r="F90" i="7"/>
  <c r="F89" i="7"/>
  <c r="F88" i="7"/>
  <c r="F87" i="7"/>
  <c r="F86" i="7"/>
  <c r="F85" i="7"/>
  <c r="F84" i="7"/>
  <c r="F83" i="7"/>
  <c r="F82" i="7"/>
  <c r="F81" i="7"/>
  <c r="F80" i="7"/>
  <c r="F79" i="7"/>
  <c r="F78" i="7"/>
  <c r="F77" i="7"/>
  <c r="F76" i="7"/>
  <c r="F75" i="7"/>
  <c r="F74" i="7"/>
  <c r="F73" i="7"/>
  <c r="F72" i="7"/>
  <c r="F71" i="7"/>
  <c r="F70" i="7"/>
  <c r="F69" i="7"/>
  <c r="F68" i="7"/>
  <c r="F67" i="7"/>
  <c r="F66" i="7"/>
  <c r="F65" i="7"/>
  <c r="F64" i="7"/>
  <c r="F63" i="7"/>
  <c r="F62" i="7"/>
  <c r="F61" i="7"/>
  <c r="F60" i="7"/>
  <c r="F59" i="7"/>
  <c r="F58" i="7"/>
  <c r="F57" i="7"/>
  <c r="F56" i="7"/>
  <c r="F55" i="7"/>
  <c r="F54" i="7"/>
  <c r="F53" i="7"/>
  <c r="F52" i="7"/>
  <c r="F51" i="7"/>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20" i="7"/>
  <c r="F19" i="7"/>
  <c r="F18" i="7"/>
  <c r="F17" i="7"/>
  <c r="F16" i="7"/>
  <c r="F15" i="7"/>
  <c r="F14" i="7"/>
  <c r="F13" i="7"/>
  <c r="F12" i="7"/>
  <c r="F11" i="7"/>
  <c r="F10" i="7"/>
  <c r="F142" i="7" s="1"/>
  <c r="F136" i="8"/>
  <c r="F135" i="8"/>
  <c r="F134" i="8"/>
  <c r="F133" i="8"/>
  <c r="F132" i="8"/>
  <c r="F131" i="8"/>
  <c r="F130" i="8"/>
  <c r="F129" i="8"/>
  <c r="F128" i="8"/>
  <c r="F127" i="8"/>
  <c r="F126" i="8"/>
  <c r="F125" i="8"/>
  <c r="F124" i="8"/>
  <c r="F123" i="8"/>
  <c r="F122" i="8"/>
  <c r="F121" i="8"/>
  <c r="F120" i="8"/>
  <c r="F119" i="8"/>
  <c r="F118" i="8"/>
  <c r="F117" i="8"/>
  <c r="F116" i="8"/>
  <c r="F115" i="8"/>
  <c r="F114" i="8"/>
  <c r="F113" i="8"/>
  <c r="F112" i="8"/>
  <c r="F111" i="8"/>
  <c r="F110" i="8"/>
  <c r="F109" i="8"/>
  <c r="F108" i="8"/>
  <c r="F107" i="8"/>
  <c r="F106" i="8"/>
  <c r="F105" i="8"/>
  <c r="F104" i="8"/>
  <c r="F103" i="8"/>
  <c r="F102" i="8"/>
  <c r="F101" i="8"/>
  <c r="F100" i="8"/>
  <c r="F99" i="8"/>
  <c r="F98" i="8"/>
  <c r="F97" i="8"/>
  <c r="F96" i="8"/>
  <c r="F95" i="8"/>
  <c r="F94" i="8"/>
  <c r="F93" i="8"/>
  <c r="F92" i="8"/>
  <c r="F91" i="8"/>
  <c r="F90" i="8"/>
  <c r="F89" i="8"/>
  <c r="F88" i="8"/>
  <c r="F87" i="8"/>
  <c r="F86" i="8"/>
  <c r="F85" i="8"/>
  <c r="F84" i="8"/>
  <c r="F83" i="8"/>
  <c r="F82" i="8"/>
  <c r="F81" i="8"/>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F13" i="8"/>
  <c r="F12" i="8"/>
  <c r="F11" i="8"/>
  <c r="F10" i="8"/>
  <c r="F9" i="8"/>
  <c r="F8" i="8"/>
  <c r="F7" i="8"/>
  <c r="F6" i="8"/>
  <c r="F137" i="8" s="1"/>
  <c r="F138" i="8" s="1"/>
  <c r="D21" i="31"/>
  <c r="E21" i="31" s="1"/>
  <c r="I21" i="31" s="1"/>
  <c r="E20" i="31"/>
  <c r="D20" i="31"/>
  <c r="I20" i="31" s="1"/>
  <c r="E19" i="31"/>
  <c r="I19" i="31" s="1"/>
  <c r="D19" i="31"/>
  <c r="E18" i="31"/>
  <c r="I18" i="31" s="1"/>
  <c r="D18" i="31"/>
  <c r="D17" i="31"/>
  <c r="E17" i="31" s="1"/>
  <c r="I17" i="31" s="1"/>
  <c r="D16" i="31"/>
  <c r="E15" i="31"/>
  <c r="I15" i="31" s="1"/>
  <c r="D15" i="31"/>
  <c r="D14" i="31"/>
  <c r="E14" i="31" s="1"/>
  <c r="I14" i="31" s="1"/>
  <c r="D13" i="31"/>
  <c r="E13" i="31" s="1"/>
  <c r="I13" i="31" s="1"/>
  <c r="D12" i="31"/>
  <c r="E11" i="31"/>
  <c r="D11" i="31"/>
  <c r="E10" i="31"/>
  <c r="I10" i="31" s="1"/>
  <c r="D10" i="31"/>
  <c r="D9" i="31"/>
  <c r="E9" i="31" s="1"/>
  <c r="I9" i="31" s="1"/>
  <c r="D8" i="31"/>
  <c r="E7" i="31"/>
  <c r="D7" i="31"/>
  <c r="D6" i="31"/>
  <c r="E6" i="31" s="1"/>
  <c r="I6" i="31" s="1"/>
  <c r="D5" i="31"/>
  <c r="E5" i="31" s="1"/>
  <c r="I5" i="31" s="1"/>
  <c r="D4" i="31"/>
  <c r="D45" i="35"/>
  <c r="D46" i="35" s="1"/>
  <c r="D39" i="35"/>
  <c r="D34" i="35"/>
  <c r="E33" i="35"/>
  <c r="E24" i="35"/>
  <c r="E22" i="35"/>
  <c r="E21" i="35"/>
  <c r="E20" i="35"/>
  <c r="D19" i="35"/>
  <c r="E19" i="35" s="1"/>
  <c r="E18" i="35"/>
  <c r="E17" i="35"/>
  <c r="E16" i="35"/>
  <c r="D16" i="35"/>
  <c r="E15" i="35"/>
  <c r="E14" i="35"/>
  <c r="E13" i="35"/>
  <c r="D13" i="35"/>
  <c r="E12" i="35"/>
  <c r="E11" i="35"/>
  <c r="E10" i="35"/>
  <c r="E9" i="35"/>
  <c r="E8" i="35"/>
  <c r="D7" i="35"/>
  <c r="E7" i="35" s="1"/>
  <c r="E6" i="35"/>
  <c r="D6" i="35"/>
  <c r="D23" i="35" s="1"/>
  <c r="E5" i="35"/>
  <c r="E4" i="35"/>
  <c r="E23" i="35" s="1"/>
  <c r="D25" i="35" s="1"/>
  <c r="D17" i="19" s="1"/>
  <c r="E3" i="35"/>
  <c r="D40" i="26"/>
  <c r="D41" i="26" s="1"/>
  <c r="D34" i="26"/>
  <c r="E28" i="26"/>
  <c r="E24" i="26"/>
  <c r="E22" i="26"/>
  <c r="E21" i="26"/>
  <c r="E20" i="26"/>
  <c r="D19" i="26"/>
  <c r="E19" i="26" s="1"/>
  <c r="E18" i="26"/>
  <c r="E17" i="26"/>
  <c r="D16" i="26"/>
  <c r="E16" i="26" s="1"/>
  <c r="E15" i="26"/>
  <c r="E14" i="26"/>
  <c r="E13" i="26"/>
  <c r="D13" i="26"/>
  <c r="E12" i="26"/>
  <c r="E11" i="26"/>
  <c r="E10" i="26"/>
  <c r="E9" i="26"/>
  <c r="E8" i="26"/>
  <c r="E7" i="26"/>
  <c r="D7" i="26"/>
  <c r="D6" i="26"/>
  <c r="D23" i="26" s="1"/>
  <c r="E5" i="26"/>
  <c r="E4" i="26"/>
  <c r="E3" i="26"/>
  <c r="B36" i="25"/>
  <c r="B26" i="25"/>
  <c r="B25" i="25"/>
  <c r="B24" i="25"/>
  <c r="B23" i="25"/>
  <c r="B22" i="25"/>
  <c r="B20" i="25"/>
  <c r="B19" i="25"/>
  <c r="B16" i="25"/>
  <c r="B13" i="25"/>
  <c r="B11" i="25"/>
  <c r="B10" i="25"/>
  <c r="B8" i="25"/>
  <c r="B6" i="25"/>
  <c r="F9" i="14"/>
  <c r="F8" i="14"/>
  <c r="D8" i="14"/>
  <c r="D7" i="14"/>
  <c r="F7" i="14" s="1"/>
  <c r="D6" i="14"/>
  <c r="F6" i="14" s="1"/>
  <c r="D5" i="14"/>
  <c r="F5" i="14" s="1"/>
  <c r="B41" i="36"/>
  <c r="C41" i="36" s="1"/>
  <c r="C40" i="36"/>
  <c r="C39" i="36"/>
  <c r="B39" i="36"/>
  <c r="C38" i="36"/>
  <c r="C37" i="36"/>
  <c r="C36" i="36"/>
  <c r="B36" i="36"/>
  <c r="C35" i="36"/>
  <c r="B35" i="36"/>
  <c r="C34" i="36"/>
  <c r="B34" i="36"/>
  <c r="C33" i="36"/>
  <c r="C32" i="36"/>
  <c r="B32" i="36"/>
  <c r="C31" i="36"/>
  <c r="B31" i="36"/>
  <c r="B29" i="36" s="1"/>
  <c r="C30" i="36"/>
  <c r="C28" i="36"/>
  <c r="C27" i="36"/>
  <c r="C26" i="36"/>
  <c r="C25" i="36"/>
  <c r="B25" i="36"/>
  <c r="C24" i="36"/>
  <c r="C23" i="36"/>
  <c r="C22" i="36"/>
  <c r="B21" i="36"/>
  <c r="C20" i="36"/>
  <c r="C19" i="36"/>
  <c r="C18" i="36"/>
  <c r="B18" i="36"/>
  <c r="B17" i="36" s="1"/>
  <c r="C16" i="36"/>
  <c r="C15" i="36"/>
  <c r="C14" i="36"/>
  <c r="C13" i="36"/>
  <c r="B13" i="36"/>
  <c r="C12" i="36"/>
  <c r="C11" i="36"/>
  <c r="B11" i="36"/>
  <c r="C10" i="36"/>
  <c r="B10" i="36"/>
  <c r="B7" i="36" s="1"/>
  <c r="C9" i="36"/>
  <c r="C8" i="36"/>
  <c r="B6" i="36"/>
  <c r="D70" i="43"/>
  <c r="D69" i="43"/>
  <c r="D68" i="43"/>
  <c r="D67" i="43"/>
  <c r="D66" i="43"/>
  <c r="D65" i="43"/>
  <c r="D64" i="43"/>
  <c r="D63" i="43"/>
  <c r="D62" i="43"/>
  <c r="D61" i="43"/>
  <c r="D60" i="43"/>
  <c r="D59" i="43"/>
  <c r="D58" i="43"/>
  <c r="D57" i="43"/>
  <c r="D56" i="43"/>
  <c r="L55" i="43"/>
  <c r="K55" i="43"/>
  <c r="J55" i="43"/>
  <c r="N55" i="43" s="1"/>
  <c r="D55" i="43"/>
  <c r="N54" i="43"/>
  <c r="K54" i="43"/>
  <c r="J54" i="43"/>
  <c r="D54" i="43"/>
  <c r="N53" i="43"/>
  <c r="L53" i="43"/>
  <c r="K53" i="43" s="1"/>
  <c r="J53" i="43"/>
  <c r="D53" i="43"/>
  <c r="N52" i="43"/>
  <c r="L52" i="43"/>
  <c r="K52" i="43" s="1"/>
  <c r="J52" i="43"/>
  <c r="D52" i="43"/>
  <c r="J51" i="43"/>
  <c r="N51" i="43" s="1"/>
  <c r="D51" i="43"/>
  <c r="J50" i="43"/>
  <c r="K50" i="43" s="1"/>
  <c r="D50" i="43"/>
  <c r="D49" i="43"/>
  <c r="D48" i="43"/>
  <c r="D37" i="43"/>
  <c r="D36" i="43"/>
  <c r="D35" i="43"/>
  <c r="D34" i="43"/>
  <c r="D33" i="43"/>
  <c r="D32" i="43"/>
  <c r="D31" i="43"/>
  <c r="D30" i="43"/>
  <c r="D29" i="43"/>
  <c r="D28" i="43"/>
  <c r="D27" i="43"/>
  <c r="D26" i="43"/>
  <c r="D25" i="43"/>
  <c r="D24" i="43"/>
  <c r="D23" i="43"/>
  <c r="D22" i="43"/>
  <c r="D21" i="43"/>
  <c r="D20" i="43"/>
  <c r="D19" i="43"/>
  <c r="D18" i="43"/>
  <c r="D17" i="43"/>
  <c r="D16" i="43"/>
  <c r="D15" i="43"/>
  <c r="D14" i="43"/>
  <c r="D13" i="43"/>
  <c r="D11" i="43"/>
  <c r="D10" i="43"/>
  <c r="E8" i="43"/>
  <c r="Q11" i="29" s="1"/>
  <c r="D8" i="43"/>
  <c r="E7" i="43"/>
  <c r="Q10" i="29" s="1"/>
  <c r="L5" i="29" s="1"/>
  <c r="D6" i="43"/>
  <c r="D5" i="43"/>
  <c r="D4" i="43"/>
  <c r="D48" i="29"/>
  <c r="J47" i="29"/>
  <c r="G47" i="29"/>
  <c r="E47" i="29"/>
  <c r="C47" i="29"/>
  <c r="E46" i="29"/>
  <c r="C46" i="29"/>
  <c r="J46" i="29" s="1"/>
  <c r="J45" i="29"/>
  <c r="I45" i="29"/>
  <c r="H45" i="29"/>
  <c r="G45" i="29"/>
  <c r="F45" i="29"/>
  <c r="F48" i="29" s="1"/>
  <c r="F49" i="29" s="1"/>
  <c r="E54" i="29" s="1"/>
  <c r="G54" i="29" s="1"/>
  <c r="E45" i="29"/>
  <c r="E44" i="29"/>
  <c r="C44" i="29"/>
  <c r="J44" i="29" s="1"/>
  <c r="J43" i="29"/>
  <c r="I43" i="29"/>
  <c r="H43" i="29"/>
  <c r="G43" i="29"/>
  <c r="E43" i="29"/>
  <c r="C42" i="29"/>
  <c r="J42" i="29" s="1"/>
  <c r="G41" i="29"/>
  <c r="E41" i="29"/>
  <c r="C41" i="29"/>
  <c r="H41" i="29" s="1"/>
  <c r="C40" i="29"/>
  <c r="J40" i="29" s="1"/>
  <c r="G39" i="29"/>
  <c r="G48" i="29" s="1"/>
  <c r="E39" i="29"/>
  <c r="E48" i="29" s="1"/>
  <c r="C39" i="29"/>
  <c r="C48" i="29" s="1"/>
  <c r="F38" i="29"/>
  <c r="E38" i="29"/>
  <c r="D38" i="29"/>
  <c r="C38" i="29"/>
  <c r="J35" i="29"/>
  <c r="I35" i="29"/>
  <c r="H35" i="29"/>
  <c r="G35" i="29"/>
  <c r="E56" i="29" s="1"/>
  <c r="G56" i="29" s="1"/>
  <c r="F35" i="29"/>
  <c r="C35" i="29"/>
  <c r="G34" i="29"/>
  <c r="E34" i="29"/>
  <c r="C34" i="29"/>
  <c r="J34" i="29" s="1"/>
  <c r="J33" i="29"/>
  <c r="I33" i="29"/>
  <c r="H33" i="29"/>
  <c r="G33" i="29"/>
  <c r="E33" i="29"/>
  <c r="C33" i="29"/>
  <c r="G32" i="29"/>
  <c r="E32" i="29"/>
  <c r="C32" i="29"/>
  <c r="J32" i="29" s="1"/>
  <c r="J31" i="29"/>
  <c r="I31" i="29"/>
  <c r="H31" i="29"/>
  <c r="G31" i="29"/>
  <c r="E31" i="29"/>
  <c r="C31" i="29"/>
  <c r="G30" i="29"/>
  <c r="E30" i="29"/>
  <c r="C30" i="29"/>
  <c r="J30" i="29" s="1"/>
  <c r="J29" i="29"/>
  <c r="J38" i="29" s="1"/>
  <c r="I29" i="29"/>
  <c r="I38" i="29" s="1"/>
  <c r="H29" i="29"/>
  <c r="G29" i="29"/>
  <c r="E29" i="29"/>
  <c r="C29" i="29"/>
  <c r="J28" i="29"/>
  <c r="I28" i="29"/>
  <c r="H28" i="29"/>
  <c r="G28" i="29"/>
  <c r="G38" i="29" s="1"/>
  <c r="E28" i="29"/>
  <c r="H27" i="29"/>
  <c r="G27" i="29"/>
  <c r="F27" i="29"/>
  <c r="H24" i="29"/>
  <c r="G24" i="29"/>
  <c r="E24" i="29"/>
  <c r="C24" i="29"/>
  <c r="J24" i="29" s="1"/>
  <c r="J23" i="29"/>
  <c r="I23" i="29"/>
  <c r="H23" i="29"/>
  <c r="G23" i="29"/>
  <c r="C23" i="29"/>
  <c r="E23" i="29" s="1"/>
  <c r="H22" i="29"/>
  <c r="G22" i="29"/>
  <c r="E22" i="29"/>
  <c r="C22" i="29"/>
  <c r="J22" i="29" s="1"/>
  <c r="J21" i="29"/>
  <c r="J27" i="29" s="1"/>
  <c r="I21" i="29"/>
  <c r="I27" i="29" s="1"/>
  <c r="H21" i="29"/>
  <c r="G21" i="29"/>
  <c r="C21" i="29"/>
  <c r="E21" i="29" s="1"/>
  <c r="E27" i="29" s="1"/>
  <c r="G20" i="29"/>
  <c r="D20" i="29"/>
  <c r="D27" i="29" s="1"/>
  <c r="D49" i="29" s="1"/>
  <c r="E52" i="29" s="1"/>
  <c r="G52" i="29" s="1"/>
  <c r="Q16" i="29"/>
  <c r="Q13" i="29"/>
  <c r="J41" i="57"/>
  <c r="H41" i="57"/>
  <c r="F41" i="57"/>
  <c r="J39" i="57"/>
  <c r="H39" i="57"/>
  <c r="F39" i="57"/>
  <c r="J38" i="57"/>
  <c r="H38" i="57"/>
  <c r="F38" i="57"/>
  <c r="J37" i="57"/>
  <c r="H37" i="57"/>
  <c r="F37" i="57"/>
  <c r="J33" i="57"/>
  <c r="H33" i="57"/>
  <c r="F33" i="57"/>
  <c r="J32" i="57"/>
  <c r="H32" i="57"/>
  <c r="F32" i="57"/>
  <c r="J30" i="57"/>
  <c r="H30" i="57"/>
  <c r="F30" i="57"/>
  <c r="J28" i="57"/>
  <c r="H28" i="57"/>
  <c r="F28" i="57"/>
  <c r="J27" i="57"/>
  <c r="H27" i="57"/>
  <c r="F27" i="57"/>
  <c r="J26" i="57"/>
  <c r="H26" i="57"/>
  <c r="F26" i="57"/>
  <c r="J24" i="57"/>
  <c r="H24" i="57"/>
  <c r="F24" i="57"/>
  <c r="J23" i="57"/>
  <c r="H23" i="57"/>
  <c r="F23" i="57"/>
  <c r="J22" i="57"/>
  <c r="H22" i="57"/>
  <c r="F22" i="57"/>
  <c r="J17" i="57"/>
  <c r="H17" i="57"/>
  <c r="F17" i="57"/>
  <c r="F15" i="57"/>
  <c r="J13" i="57"/>
  <c r="H13" i="57"/>
  <c r="F13" i="57"/>
  <c r="J11" i="57"/>
  <c r="H11" i="57"/>
  <c r="F11" i="57"/>
  <c r="F9" i="57"/>
  <c r="F8" i="57"/>
  <c r="J41" i="56"/>
  <c r="H41" i="56"/>
  <c r="F41" i="56"/>
  <c r="J39" i="56"/>
  <c r="H39" i="56"/>
  <c r="F39" i="56"/>
  <c r="J38" i="56"/>
  <c r="H38" i="56"/>
  <c r="F38" i="56"/>
  <c r="J37" i="56"/>
  <c r="H37" i="56"/>
  <c r="F37" i="56"/>
  <c r="J33" i="56"/>
  <c r="H33" i="56"/>
  <c r="F33" i="56"/>
  <c r="J32" i="56"/>
  <c r="H32" i="56"/>
  <c r="F32" i="56"/>
  <c r="J30" i="56"/>
  <c r="H30" i="56"/>
  <c r="F30" i="56"/>
  <c r="J28" i="56"/>
  <c r="H28" i="56"/>
  <c r="F28" i="56"/>
  <c r="J27" i="56"/>
  <c r="H27" i="56"/>
  <c r="F27" i="56"/>
  <c r="J26" i="56"/>
  <c r="H26" i="56"/>
  <c r="F26" i="56"/>
  <c r="J24" i="56"/>
  <c r="H24" i="56"/>
  <c r="F24" i="56"/>
  <c r="J23" i="56"/>
  <c r="H23" i="56"/>
  <c r="F23" i="56"/>
  <c r="J22" i="56"/>
  <c r="H22" i="56"/>
  <c r="F22" i="56"/>
  <c r="J17" i="56"/>
  <c r="H17" i="56"/>
  <c r="F17" i="56"/>
  <c r="F15" i="56"/>
  <c r="J13" i="56"/>
  <c r="H13" i="56"/>
  <c r="F13" i="56"/>
  <c r="J11" i="56"/>
  <c r="H11" i="56"/>
  <c r="F11" i="56"/>
  <c r="F9" i="56"/>
  <c r="F8" i="56"/>
  <c r="J41" i="55"/>
  <c r="H41" i="55"/>
  <c r="F41" i="55"/>
  <c r="J39" i="55"/>
  <c r="H39" i="55"/>
  <c r="F39" i="55"/>
  <c r="J38" i="55"/>
  <c r="H38" i="55"/>
  <c r="F38" i="55"/>
  <c r="J37" i="55"/>
  <c r="H37" i="55"/>
  <c r="F37" i="55"/>
  <c r="J33" i="55"/>
  <c r="H33" i="55"/>
  <c r="F33" i="55"/>
  <c r="J32" i="55"/>
  <c r="H32" i="55"/>
  <c r="F32" i="55"/>
  <c r="J30" i="55"/>
  <c r="H30" i="55"/>
  <c r="F30" i="55"/>
  <c r="J28" i="55"/>
  <c r="H28" i="55"/>
  <c r="F28" i="55"/>
  <c r="J27" i="55"/>
  <c r="H27" i="55"/>
  <c r="F27" i="55"/>
  <c r="J26" i="55"/>
  <c r="H26" i="55"/>
  <c r="F26" i="55"/>
  <c r="J24" i="55"/>
  <c r="H24" i="55"/>
  <c r="F24" i="55"/>
  <c r="J23" i="55"/>
  <c r="H23" i="55"/>
  <c r="F23" i="55"/>
  <c r="J22" i="55"/>
  <c r="H22" i="55"/>
  <c r="F22" i="55"/>
  <c r="J17" i="55"/>
  <c r="H17" i="55"/>
  <c r="F17" i="55"/>
  <c r="F15" i="55"/>
  <c r="J13" i="55"/>
  <c r="H13" i="55"/>
  <c r="F13" i="55"/>
  <c r="J11" i="55"/>
  <c r="H11" i="55"/>
  <c r="F11" i="55"/>
  <c r="F9" i="55"/>
  <c r="F8" i="55"/>
  <c r="J81" i="51"/>
  <c r="H81" i="51"/>
  <c r="F81" i="51"/>
  <c r="J77" i="51"/>
  <c r="H77" i="51"/>
  <c r="F77" i="51"/>
  <c r="J76" i="51"/>
  <c r="H76" i="51"/>
  <c r="F76" i="51"/>
  <c r="J75" i="51"/>
  <c r="H75" i="51"/>
  <c r="F75" i="51"/>
  <c r="J74" i="51"/>
  <c r="H74" i="51"/>
  <c r="F74" i="51"/>
  <c r="J70" i="51"/>
  <c r="H70" i="51"/>
  <c r="F70" i="51"/>
  <c r="J69" i="51"/>
  <c r="H69" i="51"/>
  <c r="F69" i="51"/>
  <c r="J68" i="51"/>
  <c r="H68" i="51"/>
  <c r="F68" i="51"/>
  <c r="J67" i="51"/>
  <c r="H67" i="51"/>
  <c r="F67" i="51"/>
  <c r="J66" i="51"/>
  <c r="H66" i="51"/>
  <c r="F66" i="51"/>
  <c r="J65" i="51"/>
  <c r="H65" i="51"/>
  <c r="F65" i="51"/>
  <c r="J63" i="51"/>
  <c r="H63" i="51"/>
  <c r="F63" i="51"/>
  <c r="J62" i="51"/>
  <c r="H62" i="51"/>
  <c r="F62" i="51"/>
  <c r="J61" i="51"/>
  <c r="H61" i="51"/>
  <c r="F61" i="51"/>
  <c r="J59" i="51"/>
  <c r="H59" i="51"/>
  <c r="F59" i="51"/>
  <c r="J58" i="51"/>
  <c r="H58" i="51"/>
  <c r="F58" i="51"/>
  <c r="J57" i="51"/>
  <c r="H57" i="51"/>
  <c r="F57" i="51"/>
  <c r="J56" i="51"/>
  <c r="H56" i="51"/>
  <c r="F56" i="51"/>
  <c r="J54" i="51"/>
  <c r="H54" i="51"/>
  <c r="F54" i="51"/>
  <c r="J53" i="51"/>
  <c r="H53" i="51"/>
  <c r="F53" i="51"/>
  <c r="J52" i="51"/>
  <c r="H52" i="51"/>
  <c r="F52" i="51"/>
  <c r="J49" i="51"/>
  <c r="H49" i="51"/>
  <c r="F49" i="51"/>
  <c r="J47" i="51"/>
  <c r="H47" i="51"/>
  <c r="F47" i="51"/>
  <c r="J45" i="51"/>
  <c r="H45" i="51"/>
  <c r="F45" i="51"/>
  <c r="J43" i="51"/>
  <c r="H43" i="51"/>
  <c r="F43" i="51"/>
  <c r="J42" i="51"/>
  <c r="H42" i="51"/>
  <c r="F42" i="51"/>
  <c r="J40" i="51"/>
  <c r="H40" i="51"/>
  <c r="F40" i="51"/>
  <c r="J39" i="51"/>
  <c r="H39" i="51"/>
  <c r="F39" i="51"/>
  <c r="J38" i="51"/>
  <c r="H38" i="51"/>
  <c r="F38" i="51"/>
  <c r="J35" i="51"/>
  <c r="H35" i="51"/>
  <c r="F35" i="51"/>
  <c r="J33" i="51"/>
  <c r="H33" i="51"/>
  <c r="F33" i="51"/>
  <c r="J28" i="51"/>
  <c r="H28" i="51"/>
  <c r="F28" i="51"/>
  <c r="J26" i="51"/>
  <c r="H26" i="51"/>
  <c r="F26" i="51"/>
  <c r="J24" i="51"/>
  <c r="H24" i="51"/>
  <c r="F24" i="51"/>
  <c r="J21" i="51"/>
  <c r="H21" i="51"/>
  <c r="F21" i="51"/>
  <c r="F15" i="51"/>
  <c r="F13" i="51"/>
  <c r="J11" i="51"/>
  <c r="H11" i="51"/>
  <c r="F11" i="51"/>
  <c r="F9" i="51"/>
  <c r="F8" i="51"/>
  <c r="J39" i="50"/>
  <c r="H39" i="50"/>
  <c r="F39" i="50"/>
  <c r="J35" i="50"/>
  <c r="H35" i="50"/>
  <c r="F35" i="50"/>
  <c r="J34" i="50"/>
  <c r="H34" i="50"/>
  <c r="F34" i="50"/>
  <c r="J33" i="50"/>
  <c r="H33" i="50"/>
  <c r="F33" i="50"/>
  <c r="J32" i="50"/>
  <c r="H32" i="50"/>
  <c r="F32" i="50"/>
  <c r="J31" i="50"/>
  <c r="H31" i="50"/>
  <c r="F31" i="50"/>
  <c r="J28" i="50"/>
  <c r="H28" i="50"/>
  <c r="F28" i="50"/>
  <c r="J26" i="50"/>
  <c r="H26" i="50"/>
  <c r="F26" i="50"/>
  <c r="J25" i="50"/>
  <c r="H25" i="50"/>
  <c r="F25" i="50"/>
  <c r="J24" i="50"/>
  <c r="H24" i="50"/>
  <c r="F24" i="50"/>
  <c r="J22" i="50"/>
  <c r="H22" i="50"/>
  <c r="F22" i="50"/>
  <c r="J21" i="50"/>
  <c r="H21" i="50"/>
  <c r="F21" i="50"/>
  <c r="J20" i="50"/>
  <c r="H20" i="50"/>
  <c r="F20" i="50"/>
  <c r="F15" i="50"/>
  <c r="J13" i="50"/>
  <c r="F13" i="50"/>
  <c r="J11" i="50"/>
  <c r="H11" i="50"/>
  <c r="F11" i="50"/>
  <c r="F9" i="50"/>
  <c r="F8" i="50"/>
  <c r="J77" i="49"/>
  <c r="H77" i="49"/>
  <c r="F77" i="49"/>
  <c r="J73" i="49"/>
  <c r="H73" i="49"/>
  <c r="F73" i="49"/>
  <c r="J72" i="49"/>
  <c r="H72" i="49"/>
  <c r="F72" i="49"/>
  <c r="J71" i="49"/>
  <c r="H71" i="49"/>
  <c r="F71" i="49"/>
  <c r="J70" i="49"/>
  <c r="H70" i="49"/>
  <c r="F70" i="49"/>
  <c r="J69" i="49"/>
  <c r="H69" i="49"/>
  <c r="F69" i="49"/>
  <c r="J65" i="49"/>
  <c r="H65" i="49"/>
  <c r="F65" i="49"/>
  <c r="J64" i="49"/>
  <c r="H64" i="49"/>
  <c r="F64" i="49"/>
  <c r="J63" i="49"/>
  <c r="H63" i="49"/>
  <c r="F63" i="49"/>
  <c r="J62" i="49"/>
  <c r="H62" i="49"/>
  <c r="F62" i="49"/>
  <c r="J61" i="49"/>
  <c r="H61" i="49"/>
  <c r="F61" i="49"/>
  <c r="J58" i="49"/>
  <c r="H58" i="49"/>
  <c r="F58" i="49"/>
  <c r="J56" i="49"/>
  <c r="H56" i="49"/>
  <c r="F56" i="49"/>
  <c r="J54" i="49"/>
  <c r="H54" i="49"/>
  <c r="F54" i="49"/>
  <c r="J52" i="49"/>
  <c r="H52" i="49"/>
  <c r="F52" i="49"/>
  <c r="J51" i="49"/>
  <c r="H51" i="49"/>
  <c r="F51" i="49"/>
  <c r="J50" i="49"/>
  <c r="H50" i="49"/>
  <c r="F50" i="49"/>
  <c r="J48" i="49"/>
  <c r="H48" i="49"/>
  <c r="F48" i="49"/>
  <c r="J47" i="49"/>
  <c r="H47" i="49"/>
  <c r="F47" i="49"/>
  <c r="J45" i="49"/>
  <c r="H45" i="49"/>
  <c r="F45" i="49"/>
  <c r="J44" i="49"/>
  <c r="H44" i="49"/>
  <c r="F44" i="49"/>
  <c r="J43" i="49"/>
  <c r="H43" i="49"/>
  <c r="F43" i="49"/>
  <c r="J40" i="49"/>
  <c r="H40" i="49"/>
  <c r="F40" i="49"/>
  <c r="J38" i="49"/>
  <c r="H38" i="49"/>
  <c r="F38" i="49"/>
  <c r="J33" i="49"/>
  <c r="H33" i="49"/>
  <c r="F33" i="49"/>
  <c r="J31" i="49"/>
  <c r="H31" i="49"/>
  <c r="F31" i="49"/>
  <c r="J29" i="49"/>
  <c r="H29" i="49"/>
  <c r="F29" i="49"/>
  <c r="J26" i="49"/>
  <c r="H26" i="49"/>
  <c r="F26" i="49"/>
  <c r="J22" i="49"/>
  <c r="H22" i="49"/>
  <c r="F22" i="49"/>
  <c r="J21" i="49"/>
  <c r="H21" i="49"/>
  <c r="F21" i="49"/>
  <c r="J20" i="49"/>
  <c r="H20" i="49"/>
  <c r="F20" i="49"/>
  <c r="F15" i="49"/>
  <c r="H13" i="49"/>
  <c r="F13" i="49"/>
  <c r="J11" i="49"/>
  <c r="H11" i="49"/>
  <c r="F11" i="49"/>
  <c r="F9" i="49"/>
  <c r="F8" i="49"/>
  <c r="J77" i="48"/>
  <c r="H77" i="48"/>
  <c r="F77" i="48"/>
  <c r="J73" i="48"/>
  <c r="H73" i="48"/>
  <c r="F73" i="48"/>
  <c r="J72" i="48"/>
  <c r="H72" i="48"/>
  <c r="F72" i="48"/>
  <c r="J71" i="48"/>
  <c r="H71" i="48"/>
  <c r="F71" i="48"/>
  <c r="J70" i="48"/>
  <c r="H70" i="48"/>
  <c r="F70" i="48"/>
  <c r="J69" i="48"/>
  <c r="H69" i="48"/>
  <c r="F69" i="48"/>
  <c r="J65" i="48"/>
  <c r="H65" i="48"/>
  <c r="F65" i="48"/>
  <c r="J64" i="48"/>
  <c r="H64" i="48"/>
  <c r="F64" i="48"/>
  <c r="J63" i="48"/>
  <c r="H63" i="48"/>
  <c r="F63" i="48"/>
  <c r="J62" i="48"/>
  <c r="H62" i="48"/>
  <c r="F62" i="48"/>
  <c r="J61" i="48"/>
  <c r="H61" i="48"/>
  <c r="F61" i="48"/>
  <c r="J59" i="48"/>
  <c r="H59" i="48"/>
  <c r="F59" i="48"/>
  <c r="J58" i="48"/>
  <c r="H58" i="48"/>
  <c r="F58" i="48"/>
  <c r="J55" i="48"/>
  <c r="H55" i="48"/>
  <c r="F55" i="48"/>
  <c r="J53" i="48"/>
  <c r="H53" i="48"/>
  <c r="F53" i="48"/>
  <c r="J51" i="48"/>
  <c r="H51" i="48"/>
  <c r="F51" i="48"/>
  <c r="J50" i="48"/>
  <c r="H50" i="48"/>
  <c r="F50" i="48"/>
  <c r="J49" i="48"/>
  <c r="H49" i="48"/>
  <c r="F49" i="48"/>
  <c r="J48" i="48"/>
  <c r="H48" i="48"/>
  <c r="F48" i="48"/>
  <c r="J47" i="48"/>
  <c r="H47" i="48"/>
  <c r="F47" i="48"/>
  <c r="J45" i="48"/>
  <c r="H45" i="48"/>
  <c r="F45" i="48"/>
  <c r="J44" i="48"/>
  <c r="H44" i="48"/>
  <c r="F44" i="48"/>
  <c r="J43" i="48"/>
  <c r="H43" i="48"/>
  <c r="F43" i="48"/>
  <c r="J40" i="48"/>
  <c r="H40" i="48"/>
  <c r="F40" i="48"/>
  <c r="J38" i="48"/>
  <c r="H38" i="48"/>
  <c r="F38" i="48"/>
  <c r="J33" i="48"/>
  <c r="H33" i="48"/>
  <c r="F33" i="48"/>
  <c r="J31" i="48"/>
  <c r="H31" i="48"/>
  <c r="F31" i="48"/>
  <c r="J29" i="48"/>
  <c r="H29" i="48"/>
  <c r="F29" i="48"/>
  <c r="J26" i="48"/>
  <c r="H26" i="48"/>
  <c r="F26" i="48"/>
  <c r="J22" i="48"/>
  <c r="H22" i="48"/>
  <c r="F22" i="48"/>
  <c r="J21" i="48"/>
  <c r="H21" i="48"/>
  <c r="F21" i="48"/>
  <c r="J20" i="48"/>
  <c r="H20" i="48"/>
  <c r="F20" i="48"/>
  <c r="F15" i="48"/>
  <c r="H13" i="48"/>
  <c r="F13" i="48"/>
  <c r="J11" i="48"/>
  <c r="H11" i="48"/>
  <c r="F11" i="48"/>
  <c r="F9" i="48"/>
  <c r="F8" i="48"/>
  <c r="J81" i="47"/>
  <c r="H81" i="47"/>
  <c r="F81" i="47"/>
  <c r="J77" i="47"/>
  <c r="H77" i="47"/>
  <c r="F77" i="47"/>
  <c r="J76" i="47"/>
  <c r="H76" i="47"/>
  <c r="F76" i="47"/>
  <c r="J75" i="47"/>
  <c r="H75" i="47"/>
  <c r="F75" i="47"/>
  <c r="J74" i="47"/>
  <c r="H74" i="47"/>
  <c r="F74" i="47"/>
  <c r="J73" i="47"/>
  <c r="H73" i="47"/>
  <c r="F73" i="47"/>
  <c r="J69" i="47"/>
  <c r="H69" i="47"/>
  <c r="F69" i="47"/>
  <c r="J68" i="47"/>
  <c r="H68" i="47"/>
  <c r="F68" i="47"/>
  <c r="J67" i="47"/>
  <c r="H67" i="47"/>
  <c r="F67" i="47"/>
  <c r="J66" i="47"/>
  <c r="H66" i="47"/>
  <c r="F66" i="47"/>
  <c r="J65" i="47"/>
  <c r="H65" i="47"/>
  <c r="F65" i="47"/>
  <c r="J63" i="47"/>
  <c r="H63" i="47"/>
  <c r="F63" i="47"/>
  <c r="J62" i="47"/>
  <c r="H62" i="47"/>
  <c r="F62" i="47"/>
  <c r="J59" i="47"/>
  <c r="H59" i="47"/>
  <c r="F59" i="47"/>
  <c r="J57" i="47"/>
  <c r="H57" i="47"/>
  <c r="F57" i="47"/>
  <c r="O55" i="47"/>
  <c r="J55" i="47"/>
  <c r="H55" i="47"/>
  <c r="F55" i="47"/>
  <c r="J54" i="47"/>
  <c r="H54" i="47"/>
  <c r="F54" i="47"/>
  <c r="J53" i="47"/>
  <c r="H53" i="47"/>
  <c r="F53" i="47"/>
  <c r="J52" i="47"/>
  <c r="H52" i="47"/>
  <c r="F52" i="47"/>
  <c r="J51" i="47"/>
  <c r="H51" i="47"/>
  <c r="F51" i="47"/>
  <c r="J49" i="47"/>
  <c r="H49" i="47"/>
  <c r="F49" i="47"/>
  <c r="J48" i="47"/>
  <c r="H48" i="47"/>
  <c r="F48" i="47"/>
  <c r="J47" i="47"/>
  <c r="H47" i="47"/>
  <c r="F47" i="47"/>
  <c r="J44" i="47"/>
  <c r="H44" i="47"/>
  <c r="F44" i="47"/>
  <c r="J42" i="47"/>
  <c r="H42" i="47"/>
  <c r="F42" i="47"/>
  <c r="J40" i="47"/>
  <c r="H40" i="47"/>
  <c r="F40" i="47"/>
  <c r="J38" i="47"/>
  <c r="H38" i="47"/>
  <c r="F38" i="47"/>
  <c r="J33" i="47"/>
  <c r="H33" i="47"/>
  <c r="F33" i="47"/>
  <c r="J31" i="47"/>
  <c r="H31" i="47"/>
  <c r="F31" i="47"/>
  <c r="J29" i="47"/>
  <c r="H29" i="47"/>
  <c r="F29" i="47"/>
  <c r="J26" i="47"/>
  <c r="H26" i="47"/>
  <c r="F26" i="47"/>
  <c r="J22" i="47"/>
  <c r="H22" i="47"/>
  <c r="F22" i="47"/>
  <c r="J21" i="47"/>
  <c r="H21" i="47"/>
  <c r="F21" i="47"/>
  <c r="J20" i="47"/>
  <c r="H20" i="47"/>
  <c r="F20" i="47"/>
  <c r="F15" i="47"/>
  <c r="J13" i="47"/>
  <c r="H13" i="47"/>
  <c r="F13" i="47"/>
  <c r="J11" i="47"/>
  <c r="H11" i="47"/>
  <c r="F11" i="47"/>
  <c r="F9" i="47"/>
  <c r="F8" i="47"/>
  <c r="J72" i="46"/>
  <c r="H72" i="46"/>
  <c r="F72" i="46"/>
  <c r="J68" i="46"/>
  <c r="H68" i="46"/>
  <c r="F68" i="46"/>
  <c r="J67" i="46"/>
  <c r="H67" i="46"/>
  <c r="F67" i="46"/>
  <c r="J66" i="46"/>
  <c r="H66" i="46"/>
  <c r="F66" i="46"/>
  <c r="J65" i="46"/>
  <c r="H65" i="46"/>
  <c r="F65" i="46"/>
  <c r="J64" i="46"/>
  <c r="H64" i="46"/>
  <c r="F64" i="46"/>
  <c r="J63" i="46"/>
  <c r="H63" i="46"/>
  <c r="F63" i="46"/>
  <c r="J59" i="46"/>
  <c r="H59" i="46"/>
  <c r="F59" i="46"/>
  <c r="J58" i="46"/>
  <c r="H58" i="46"/>
  <c r="F58" i="46"/>
  <c r="J57" i="46"/>
  <c r="H57" i="46"/>
  <c r="F57" i="46"/>
  <c r="J56" i="46"/>
  <c r="H56" i="46"/>
  <c r="F56" i="46"/>
  <c r="J55" i="46"/>
  <c r="H55" i="46"/>
  <c r="F55" i="46"/>
  <c r="J52" i="46"/>
  <c r="H52" i="46"/>
  <c r="F52" i="46"/>
  <c r="J50" i="46"/>
  <c r="H50" i="46"/>
  <c r="F50" i="46"/>
  <c r="J49" i="46"/>
  <c r="H49" i="46"/>
  <c r="F49" i="46"/>
  <c r="J47" i="46"/>
  <c r="H47" i="46"/>
  <c r="F47" i="46"/>
  <c r="J46" i="46"/>
  <c r="H46" i="46"/>
  <c r="F46" i="46"/>
  <c r="J43" i="46"/>
  <c r="H43" i="46"/>
  <c r="F43" i="46"/>
  <c r="J41" i="46"/>
  <c r="H41" i="46"/>
  <c r="F41" i="46"/>
  <c r="J36" i="46"/>
  <c r="H36" i="46"/>
  <c r="F36" i="46"/>
  <c r="J34" i="46"/>
  <c r="H34" i="46"/>
  <c r="F34" i="46"/>
  <c r="J32" i="46"/>
  <c r="H32" i="46"/>
  <c r="F32" i="46"/>
  <c r="J29" i="46"/>
  <c r="H29" i="46"/>
  <c r="F29" i="46"/>
  <c r="J25" i="46"/>
  <c r="H25" i="46"/>
  <c r="F25" i="46"/>
  <c r="J24" i="46"/>
  <c r="H24" i="46"/>
  <c r="F24" i="46"/>
  <c r="J23" i="46"/>
  <c r="H23" i="46"/>
  <c r="F23" i="46"/>
  <c r="J22" i="46"/>
  <c r="H22" i="46"/>
  <c r="H8" i="46" s="1"/>
  <c r="F22" i="46"/>
  <c r="J20" i="46"/>
  <c r="H20" i="46"/>
  <c r="F20" i="46"/>
  <c r="F15" i="46"/>
  <c r="J13" i="46"/>
  <c r="F13" i="46"/>
  <c r="J11" i="46"/>
  <c r="H11" i="46"/>
  <c r="F11" i="46"/>
  <c r="F9" i="46"/>
  <c r="F8" i="46"/>
  <c r="H58" i="45"/>
  <c r="F58" i="45"/>
  <c r="H54" i="45"/>
  <c r="F54" i="45"/>
  <c r="H53" i="45"/>
  <c r="F53" i="45"/>
  <c r="H52" i="45"/>
  <c r="F52" i="45"/>
  <c r="H51" i="45"/>
  <c r="F51" i="45"/>
  <c r="H47" i="45"/>
  <c r="F47" i="45"/>
  <c r="H46" i="45"/>
  <c r="F46" i="45"/>
  <c r="H45" i="45"/>
  <c r="F45" i="45"/>
  <c r="H44" i="45"/>
  <c r="F44" i="45"/>
  <c r="H43" i="45"/>
  <c r="F43" i="45"/>
  <c r="H40" i="45"/>
  <c r="F40" i="45"/>
  <c r="H38" i="45"/>
  <c r="F38" i="45"/>
  <c r="H37" i="45"/>
  <c r="F37" i="45"/>
  <c r="H35" i="45"/>
  <c r="F35" i="45"/>
  <c r="H34" i="45"/>
  <c r="F34" i="45"/>
  <c r="H33" i="45"/>
  <c r="F33" i="45"/>
  <c r="H28" i="45"/>
  <c r="F28" i="45"/>
  <c r="H26" i="45"/>
  <c r="F26" i="45"/>
  <c r="H24" i="45"/>
  <c r="F24" i="45"/>
  <c r="H21" i="45"/>
  <c r="F21" i="45"/>
  <c r="H13" i="45"/>
  <c r="H11" i="45"/>
  <c r="F11" i="45"/>
  <c r="H8" i="45"/>
  <c r="H82" i="44"/>
  <c r="F82" i="44"/>
  <c r="H78" i="44"/>
  <c r="F78" i="44"/>
  <c r="H77" i="44"/>
  <c r="F77" i="44"/>
  <c r="H76" i="44"/>
  <c r="F76" i="44"/>
  <c r="H75" i="44"/>
  <c r="F75" i="44"/>
  <c r="H74" i="44"/>
  <c r="F74" i="44"/>
  <c r="H73" i="44"/>
  <c r="F73" i="44"/>
  <c r="H69" i="44"/>
  <c r="F69" i="44"/>
  <c r="H68" i="44"/>
  <c r="F68" i="44"/>
  <c r="H67" i="44"/>
  <c r="F67" i="44"/>
  <c r="H66" i="44"/>
  <c r="F66" i="44"/>
  <c r="H65" i="44"/>
  <c r="F65" i="44"/>
  <c r="H63" i="44"/>
  <c r="F63" i="44"/>
  <c r="H62" i="44"/>
  <c r="F62" i="44"/>
  <c r="H59" i="44"/>
  <c r="F59" i="44"/>
  <c r="H57" i="44"/>
  <c r="F57" i="44"/>
  <c r="H55" i="44"/>
  <c r="F55" i="44"/>
  <c r="H53" i="44"/>
  <c r="F53" i="44"/>
  <c r="H52" i="44"/>
  <c r="F52" i="44"/>
  <c r="H51" i="44"/>
  <c r="F51" i="44"/>
  <c r="H50" i="44"/>
  <c r="F50" i="44"/>
  <c r="H48" i="44"/>
  <c r="F48" i="44"/>
  <c r="H47" i="44"/>
  <c r="F47" i="44"/>
  <c r="H45" i="44"/>
  <c r="F45" i="44"/>
  <c r="H44" i="44"/>
  <c r="F44" i="44"/>
  <c r="H43" i="44"/>
  <c r="F43" i="44"/>
  <c r="H40" i="44"/>
  <c r="F40" i="44"/>
  <c r="H38" i="44"/>
  <c r="F38" i="44"/>
  <c r="H33" i="44"/>
  <c r="F33" i="44"/>
  <c r="H31" i="44"/>
  <c r="F31" i="44"/>
  <c r="H29" i="44"/>
  <c r="F29" i="44"/>
  <c r="H26" i="44"/>
  <c r="F26" i="44"/>
  <c r="H22" i="44"/>
  <c r="F22" i="44"/>
  <c r="H21" i="44"/>
  <c r="F21" i="44"/>
  <c r="H20" i="44"/>
  <c r="F20" i="44"/>
  <c r="F13" i="44"/>
  <c r="H11" i="44"/>
  <c r="F11" i="44"/>
  <c r="F17" i="19"/>
  <c r="F16" i="19"/>
  <c r="F15" i="19"/>
  <c r="E15" i="19"/>
  <c r="D15" i="19"/>
  <c r="F14" i="19"/>
  <c r="E14" i="19"/>
  <c r="D14" i="19"/>
  <c r="E13" i="19"/>
  <c r="D13" i="19"/>
  <c r="F12" i="19"/>
  <c r="E12" i="19"/>
  <c r="D12" i="19"/>
  <c r="K11" i="19"/>
  <c r="D11" i="19"/>
  <c r="F10" i="19"/>
  <c r="E10" i="19"/>
  <c r="D10" i="19"/>
  <c r="F9" i="19"/>
  <c r="E9" i="19"/>
  <c r="D9" i="19"/>
  <c r="F8" i="19"/>
  <c r="E8" i="19"/>
  <c r="M7" i="19"/>
  <c r="F7" i="19"/>
  <c r="E7" i="19"/>
  <c r="E6" i="19" s="1"/>
  <c r="D7" i="19"/>
  <c r="D8" i="19" s="1"/>
  <c r="F6" i="19"/>
  <c r="I11" i="31" l="1"/>
  <c r="I7" i="31"/>
  <c r="F42" i="55"/>
  <c r="F73" i="46"/>
  <c r="F40" i="50"/>
  <c r="J13" i="49"/>
  <c r="F78" i="49"/>
  <c r="F78" i="48"/>
  <c r="H8" i="47"/>
  <c r="H15" i="57"/>
  <c r="J15" i="57"/>
  <c r="H8" i="57"/>
  <c r="F42" i="57"/>
  <c r="J8" i="56"/>
  <c r="F42" i="56"/>
  <c r="H8" i="55"/>
  <c r="J15" i="55"/>
  <c r="J8" i="55"/>
  <c r="J9" i="55" s="1"/>
  <c r="J42" i="55" s="1"/>
  <c r="F13" i="58" s="1"/>
  <c r="J8" i="51"/>
  <c r="H13" i="50"/>
  <c r="H15" i="50"/>
  <c r="H8" i="50"/>
  <c r="H9" i="50" s="1"/>
  <c r="H15" i="49"/>
  <c r="J8" i="49"/>
  <c r="J9" i="49" s="1"/>
  <c r="J13" i="48"/>
  <c r="H8" i="48"/>
  <c r="J8" i="48"/>
  <c r="H15" i="48"/>
  <c r="H15" i="47"/>
  <c r="H9" i="47" s="1"/>
  <c r="J15" i="46"/>
  <c r="H15" i="46"/>
  <c r="J8" i="46"/>
  <c r="H15" i="45"/>
  <c r="F13" i="45"/>
  <c r="H13" i="44"/>
  <c r="F8" i="44"/>
  <c r="F82" i="47"/>
  <c r="H15" i="55"/>
  <c r="H9" i="55" s="1"/>
  <c r="H8" i="56"/>
  <c r="H15" i="56"/>
  <c r="J8" i="57"/>
  <c r="F15" i="45"/>
  <c r="F8" i="45"/>
  <c r="K10" i="19"/>
  <c r="L11" i="19" s="1"/>
  <c r="H9" i="45"/>
  <c r="H59" i="45" s="1"/>
  <c r="F6" i="58" s="1"/>
  <c r="G60" i="29"/>
  <c r="E5" i="19"/>
  <c r="J8" i="47"/>
  <c r="H8" i="51"/>
  <c r="H38" i="29"/>
  <c r="L14" i="29"/>
  <c r="E46" i="43" s="1"/>
  <c r="L6" i="29"/>
  <c r="E38" i="43" s="1"/>
  <c r="L12" i="29"/>
  <c r="E44" i="43" s="1"/>
  <c r="L11" i="29"/>
  <c r="E43" i="43" s="1"/>
  <c r="L9" i="29"/>
  <c r="E41" i="43" s="1"/>
  <c r="L10" i="29"/>
  <c r="E42" i="43" s="1"/>
  <c r="L16" i="29"/>
  <c r="L8" i="29"/>
  <c r="E40" i="43" s="1"/>
  <c r="L15" i="29"/>
  <c r="E47" i="43" s="1"/>
  <c r="L7" i="29"/>
  <c r="E39" i="43" s="1"/>
  <c r="E23" i="26"/>
  <c r="D25" i="26" s="1"/>
  <c r="H8" i="44"/>
  <c r="H15" i="44"/>
  <c r="J15" i="50"/>
  <c r="J8" i="50"/>
  <c r="C49" i="29"/>
  <c r="E49" i="29"/>
  <c r="E53" i="29" s="1"/>
  <c r="G53" i="29" s="1"/>
  <c r="H8" i="49"/>
  <c r="J13" i="51"/>
  <c r="H13" i="51"/>
  <c r="G49" i="29"/>
  <c r="E55" i="29" s="1"/>
  <c r="G55" i="29" s="1"/>
  <c r="B42" i="36"/>
  <c r="D16" i="19" s="1"/>
  <c r="F82" i="51"/>
  <c r="J15" i="56"/>
  <c r="I39" i="29"/>
  <c r="I48" i="29" s="1"/>
  <c r="I49" i="29" s="1"/>
  <c r="E58" i="29" s="1"/>
  <c r="G58" i="29" s="1"/>
  <c r="I41" i="29"/>
  <c r="D7" i="43"/>
  <c r="N50" i="43"/>
  <c r="D29" i="26"/>
  <c r="J15" i="47"/>
  <c r="J15" i="48"/>
  <c r="J9" i="48" s="1"/>
  <c r="J78" i="48" s="1"/>
  <c r="F9" i="58" s="1"/>
  <c r="J39" i="29"/>
  <c r="J48" i="29" s="1"/>
  <c r="J49" i="29" s="1"/>
  <c r="J50" i="29" s="1"/>
  <c r="J41" i="29"/>
  <c r="H13" i="46"/>
  <c r="H9" i="46" s="1"/>
  <c r="H73" i="46" s="1"/>
  <c r="D7" i="58" s="1"/>
  <c r="I22" i="29"/>
  <c r="I24" i="29"/>
  <c r="H30" i="29"/>
  <c r="H32" i="29"/>
  <c r="H34" i="29"/>
  <c r="E40" i="29"/>
  <c r="E42" i="29"/>
  <c r="G44" i="29"/>
  <c r="G46" i="29"/>
  <c r="K51" i="43"/>
  <c r="E4" i="31"/>
  <c r="G4" i="31" s="1"/>
  <c r="G22" i="31" s="1"/>
  <c r="E8" i="31"/>
  <c r="I8" i="31" s="1"/>
  <c r="E12" i="31"/>
  <c r="I12" i="31" s="1"/>
  <c r="E16" i="31"/>
  <c r="I16" i="31" s="1"/>
  <c r="E6" i="26"/>
  <c r="F13" i="19"/>
  <c r="I30" i="29"/>
  <c r="I32" i="29"/>
  <c r="I34" i="29"/>
  <c r="G40" i="29"/>
  <c r="G42" i="29"/>
  <c r="H44" i="29"/>
  <c r="H46" i="29"/>
  <c r="C6" i="36"/>
  <c r="C42" i="36" s="1"/>
  <c r="C27" i="29"/>
  <c r="H40" i="29"/>
  <c r="H42" i="29"/>
  <c r="I44" i="29"/>
  <c r="I46" i="29"/>
  <c r="E59" i="29" s="1"/>
  <c r="G59" i="29" s="1"/>
  <c r="E9" i="43"/>
  <c r="F15" i="44"/>
  <c r="F9" i="44" s="1"/>
  <c r="F83" i="44" s="1"/>
  <c r="D5" i="58" s="1"/>
  <c r="J15" i="49"/>
  <c r="I40" i="29"/>
  <c r="I42" i="29"/>
  <c r="D6" i="19"/>
  <c r="H39" i="29"/>
  <c r="H48" i="29" s="1"/>
  <c r="H49" i="29" s="1"/>
  <c r="E57" i="29" s="1"/>
  <c r="G57" i="29" s="1"/>
  <c r="H40" i="50" l="1"/>
  <c r="D11" i="58" s="1"/>
  <c r="H82" i="47"/>
  <c r="D8" i="58" s="1"/>
  <c r="I23" i="31"/>
  <c r="J24" i="31" s="1"/>
  <c r="H42" i="55"/>
  <c r="D13" i="58" s="1"/>
  <c r="J78" i="49"/>
  <c r="F10" i="58" s="1"/>
  <c r="J9" i="56"/>
  <c r="J42" i="56" s="1"/>
  <c r="F14" i="58" s="1"/>
  <c r="H9" i="57"/>
  <c r="H42" i="57" s="1"/>
  <c r="D15" i="58" s="1"/>
  <c r="H9" i="48"/>
  <c r="H78" i="48" s="1"/>
  <c r="D9" i="58" s="1"/>
  <c r="J9" i="46"/>
  <c r="J73" i="46" s="1"/>
  <c r="F7" i="58" s="1"/>
  <c r="H9" i="56"/>
  <c r="H42" i="56" s="1"/>
  <c r="D14" i="58" s="1"/>
  <c r="J15" i="51"/>
  <c r="J9" i="51" s="1"/>
  <c r="J82" i="51" s="1"/>
  <c r="F12" i="58" s="1"/>
  <c r="H15" i="51"/>
  <c r="H9" i="51" s="1"/>
  <c r="H82" i="51" s="1"/>
  <c r="D12" i="58" s="1"/>
  <c r="H9" i="49"/>
  <c r="H78" i="49" s="1"/>
  <c r="D10" i="58" s="1"/>
  <c r="F5" i="19"/>
  <c r="Q12" i="29"/>
  <c r="L13" i="29" s="1"/>
  <c r="E45" i="43" s="1"/>
  <c r="D9" i="43"/>
  <c r="J9" i="50"/>
  <c r="J40" i="50" s="1"/>
  <c r="F11" i="58" s="1"/>
  <c r="E16" i="19"/>
  <c r="D52" i="36"/>
  <c r="D5" i="19"/>
  <c r="H9" i="44"/>
  <c r="H83" i="44" s="1"/>
  <c r="F5" i="58" s="1"/>
  <c r="F9" i="45"/>
  <c r="F59" i="45" s="1"/>
  <c r="D6" i="58" s="1"/>
  <c r="J9" i="47"/>
  <c r="J82" i="47" s="1"/>
  <c r="F8" i="58" s="1"/>
  <c r="J9" i="57"/>
  <c r="J42" i="57" s="1"/>
  <c r="F15" i="58" s="1"/>
  <c r="E5" i="58" l="1"/>
  <c r="G5" i="58"/>
  <c r="F18" i="19"/>
  <c r="I5" i="19"/>
  <c r="D18" i="19"/>
  <c r="G5" i="19" s="1"/>
  <c r="K24" i="31"/>
  <c r="E17" i="19"/>
  <c r="E18" i="19" s="1"/>
  <c r="J26" i="31"/>
  <c r="E20" i="19" l="1"/>
  <c r="E21" i="19" s="1"/>
  <c r="H12" i="19"/>
  <c r="H14" i="19"/>
  <c r="H15" i="19"/>
  <c r="H9" i="19"/>
  <c r="H13" i="19"/>
  <c r="H8" i="19"/>
  <c r="H7" i="19"/>
  <c r="H10" i="19"/>
  <c r="H6" i="19"/>
  <c r="H5" i="19"/>
  <c r="H17" i="19"/>
  <c r="H16" i="19"/>
  <c r="D20" i="19"/>
  <c r="D21" i="19" s="1"/>
  <c r="G10" i="19"/>
  <c r="G12" i="19"/>
  <c r="G14" i="19"/>
  <c r="G13" i="19"/>
  <c r="G17" i="19"/>
  <c r="G7" i="19"/>
  <c r="G8" i="19"/>
  <c r="G9" i="19"/>
  <c r="G15" i="19"/>
  <c r="G11" i="19"/>
  <c r="G6" i="19"/>
  <c r="G16" i="19"/>
  <c r="K17" i="19"/>
  <c r="I9" i="19"/>
  <c r="F23" i="19"/>
  <c r="F20" i="19"/>
  <c r="F21" i="19" s="1"/>
  <c r="K16" i="19"/>
  <c r="I6" i="19"/>
  <c r="I8" i="19"/>
  <c r="I14" i="19"/>
  <c r="I16" i="19"/>
  <c r="I17" i="19"/>
  <c r="I7" i="19"/>
  <c r="I10" i="19"/>
  <c r="I15" i="19"/>
  <c r="I12" i="19"/>
  <c r="I13"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钱文华</author>
  </authors>
  <commentList>
    <comment ref="E5" authorId="0" shapeId="0" xr:uid="{00000000-0006-0000-1100-000001000000}">
      <text>
        <r>
          <rPr>
            <sz val="9"/>
            <rFont val="宋体"/>
            <family val="3"/>
            <charset val="134"/>
          </rPr>
          <t xml:space="preserve">含税出场价45元，利润5元，综合运费12元，共计62元/m³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覃凯月</author>
  </authors>
  <commentList>
    <comment ref="A36" authorId="0" shapeId="0" xr:uid="{00000000-0006-0000-1400-000001000000}">
      <text>
        <r>
          <rPr>
            <sz val="9"/>
            <rFont val="宋体"/>
            <family val="3"/>
            <charset val="134"/>
          </rPr>
          <t xml:space="preserve">重新核实业务招待费
</t>
        </r>
      </text>
    </comment>
  </commentList>
</comments>
</file>

<file path=xl/sharedStrings.xml><?xml version="1.0" encoding="utf-8"?>
<sst xmlns="http://schemas.openxmlformats.org/spreadsheetml/2006/main" count="4320" uniqueCount="1543">
  <si>
    <t>项目成本测算汇总表</t>
  </si>
  <si>
    <t>项目名称:桂柳项目土建4标(K24+525.5-K36+000)</t>
  </si>
  <si>
    <t>单位：元</t>
  </si>
  <si>
    <t>成测表01</t>
  </si>
  <si>
    <t>序号</t>
  </si>
  <si>
    <t>成本科目</t>
  </si>
  <si>
    <t>成本测算金额
（上报）</t>
  </si>
  <si>
    <t>成本测算金额（初审）</t>
  </si>
  <si>
    <t>成本测算金额
（二次调整）</t>
  </si>
  <si>
    <t>成本测算比例（上报）</t>
  </si>
  <si>
    <t>成本测算比例（初审）</t>
  </si>
  <si>
    <t>成本测算比例（二次调整）</t>
  </si>
  <si>
    <t>备注</t>
  </si>
  <si>
    <t>一</t>
  </si>
  <si>
    <t>直接费</t>
  </si>
  <si>
    <t>（一）</t>
  </si>
  <si>
    <t>直接工程费</t>
  </si>
  <si>
    <t>人工费</t>
  </si>
  <si>
    <t>劳务费</t>
  </si>
  <si>
    <t>计日工</t>
  </si>
  <si>
    <t>机械、设备费</t>
  </si>
  <si>
    <t>材料费</t>
  </si>
  <si>
    <t>路基</t>
  </si>
  <si>
    <t>桥涵</t>
  </si>
  <si>
    <t>隧道</t>
  </si>
  <si>
    <t>（二）</t>
  </si>
  <si>
    <t>其他工程费</t>
  </si>
  <si>
    <t>其他直接费</t>
  </si>
  <si>
    <t>临时设施费</t>
  </si>
  <si>
    <t>二</t>
  </si>
  <si>
    <t>间接费</t>
  </si>
  <si>
    <t>三</t>
  </si>
  <si>
    <t>增值税及附加</t>
  </si>
  <si>
    <t>进项抵扣后的增值税及附加，详见税负测算表</t>
  </si>
  <si>
    <t>成 本 合 计</t>
  </si>
  <si>
    <t>预 算 报 价</t>
  </si>
  <si>
    <t>按概算金额下浮25%列</t>
  </si>
  <si>
    <t>利 润</t>
  </si>
  <si>
    <t>利 润 率</t>
  </si>
  <si>
    <t>货币单位: 人民币 元</t>
  </si>
  <si>
    <t>标包</t>
  </si>
  <si>
    <t>工程名称</t>
  </si>
  <si>
    <t>合同包一
（奉云路、巫奉路、奉溪路）</t>
  </si>
  <si>
    <t>分界梁隧道病害专项处治工程</t>
  </si>
  <si>
    <t>凤凰梁隧道病害专项处治工程</t>
  </si>
  <si>
    <t>马垭口隧道病害专项处治工程</t>
  </si>
  <si>
    <t>红岩隧道病害专项处治工程</t>
  </si>
  <si>
    <t>王家坪隧道病害专项处治工程</t>
  </si>
  <si>
    <t>闵家隧道病害专项处治工程</t>
  </si>
  <si>
    <t>营盘包隧道病害专项处治工程</t>
  </si>
  <si>
    <t>孙家崖隧道病害专项处治工程</t>
  </si>
  <si>
    <t>奉云路隧道病害综合处治工程</t>
  </si>
  <si>
    <t>巫奉路隧道病害综合处治工程</t>
  </si>
  <si>
    <t>奉溪路隧道病害综合处治工程</t>
  </si>
  <si>
    <t>项目名称:重庆高速公路集团有限公司东北营运分公司隧道病害处治施工项目（分界梁）</t>
  </si>
  <si>
    <t>清单  第100-900章</t>
  </si>
  <si>
    <t>子目号</t>
  </si>
  <si>
    <t>子目名称</t>
  </si>
  <si>
    <t>单位</t>
  </si>
  <si>
    <t>数量</t>
  </si>
  <si>
    <t>清单单价(元)</t>
  </si>
  <si>
    <t>合价(元)</t>
  </si>
  <si>
    <t>工程量计量规则</t>
  </si>
  <si>
    <t>工作内容</t>
  </si>
  <si>
    <t>总则</t>
  </si>
  <si>
    <t>总额</t>
  </si>
  <si>
    <t>工程管理</t>
  </si>
  <si>
    <t xml:space="preserve">  102-2</t>
  </si>
  <si>
    <t>施工环保费</t>
  </si>
  <si>
    <t>以总额计量，总价包干使用</t>
  </si>
  <si>
    <t>1.施工现场按环保部门要求所需要设置的各种治理、控制设施；
2.施工现场的扬尘采取洒水措施治理；
3.施工噪音控制措施；
4.施工现场排污治理措施；
5.合理排污等一切与施工环保有关的作业</t>
  </si>
  <si>
    <t xml:space="preserve">  102-3</t>
  </si>
  <si>
    <t>安全生产费</t>
  </si>
  <si>
    <t>1.设置、完善、改造和维护安全防护设施设备支出；
2.配备、维护、保养应急救援的器材和设备支出和应急演练支出；
3.重大危险源和事故隐患评估、监控(包括远程监控)和整改支出；
4.安全生产检查、咨询、评价和安全生产标准化支出；
5.配备和更新现场作业人员安全防护用品支出；
6.安全生产宣传、教育、培训支出；
7.安全生产适用的新技术、新标准、新工艺、新装备的推广应用支出；
8.安全设施及特种设备检测检验支出；
9.其他与安全生产直接相关的支出</t>
  </si>
  <si>
    <t xml:space="preserve">  102-4</t>
  </si>
  <si>
    <t>保通费</t>
  </si>
  <si>
    <t xml:space="preserve">    102-4-4</t>
  </si>
  <si>
    <t>安全作业交通维护费</t>
  </si>
  <si>
    <t>天·次</t>
  </si>
  <si>
    <t>采取措施保证道路交通安全和正常通行，以天·次计量</t>
  </si>
  <si>
    <t>1.编制交通组织方案，媒体发布公告及宣传；
2.交通安全设施的购买、准备、运输、摆放、移
动、维护、拆除或撤回；
3.工程施工可能会对道路交通产生干扰时，设置必要的路障、警告信号等；
4.保护原有交通设施；
5.配合交通管制方案实施的协管人员</t>
  </si>
  <si>
    <t>承包人驻地建设</t>
  </si>
  <si>
    <t xml:space="preserve">  104-2</t>
  </si>
  <si>
    <t>驻地建设（租赁驻地）</t>
  </si>
  <si>
    <t>1.驻地建设的租赁、管理与维护；
2.工程交工时，按照合同或协议要求将驻地建设恢复原貌、交还</t>
  </si>
  <si>
    <t>通行费</t>
  </si>
  <si>
    <t xml:space="preserve">  109-1</t>
  </si>
  <si>
    <t>路面</t>
  </si>
  <si>
    <t>沥青混凝土路面养护</t>
  </si>
  <si>
    <t xml:space="preserve">  303-1</t>
  </si>
  <si>
    <t>沥青混凝土路面常见病害维修</t>
  </si>
  <si>
    <t xml:space="preserve">    303-1-3</t>
  </si>
  <si>
    <t>局部开槽处理</t>
  </si>
  <si>
    <t xml:space="preserve">      303-1-3-1</t>
  </si>
  <si>
    <t>开槽（废料运距1km以下）</t>
  </si>
  <si>
    <t>m3</t>
  </si>
  <si>
    <t>按实际开槽体积以立方米为单位计量</t>
  </si>
  <si>
    <t>1.放线、开槽；
2.废料清理、装卸、运输1km以下、定点堆放；
3.场地清理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</si>
  <si>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303-1-3-2</t>
  </si>
  <si>
    <t>C45防腐细石混凝土回填</t>
  </si>
  <si>
    <t>依据图纸所示，按不同强度等级、不同种类混凝土体积，以立方米为单位计量</t>
  </si>
  <si>
    <t xml:space="preserve">      303-1-3-3</t>
  </si>
  <si>
    <t>废料超运（暂定29km)</t>
  </si>
  <si>
    <t>1.废料运距大于1km时，计算超运运量，以立方米为单位计量；
2.实际废料超运运距不为29km时，实际弃方超运单价=实际超运运距×(投标单价÷29)</t>
  </si>
  <si>
    <t>超运距运输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</si>
  <si>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303-2</t>
  </si>
  <si>
    <t>沥青混凝土路面翻修</t>
  </si>
  <si>
    <t xml:space="preserve">    303-2-2</t>
  </si>
  <si>
    <t>沥青混凝土路面</t>
  </si>
  <si>
    <t xml:space="preserve">      303-2-2-2</t>
  </si>
  <si>
    <t>普通中粒式沥青混凝土</t>
  </si>
  <si>
    <t xml:space="preserve">        303-2-2-2-2</t>
  </si>
  <si>
    <t>厚60mm AC-20C</t>
  </si>
  <si>
    <t>m2</t>
  </si>
  <si>
    <t>依据图纸所示，按不同级配类型、铺筑压实厚度、外掺材料品种等加铺相应厚度顶面面积，以平方米为单位计量</t>
  </si>
  <si>
    <t>1.清扫整理下承层；
2.沥青混凝土拌和、运输；
3.摊铺、整平；
4.碾压；
5.初期养护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</si>
  <si>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303-2-7</t>
  </si>
  <si>
    <t>改性沥青混凝土面层</t>
  </si>
  <si>
    <t xml:space="preserve">      303-2-7-1</t>
  </si>
  <si>
    <t>改性细粒式改性沥青混凝土(普通碎石)</t>
  </si>
  <si>
    <t xml:space="preserve">        303-2-7-1-2</t>
  </si>
  <si>
    <t>厚40mm SBS改性AC-13C（阻燃）</t>
  </si>
  <si>
    <t xml:space="preserve">  303-4</t>
  </si>
  <si>
    <t>透层、粘层、封层</t>
  </si>
  <si>
    <t xml:space="preserve">    303-4-2</t>
  </si>
  <si>
    <t>粘层</t>
  </si>
  <si>
    <t>依据图纸所示，按不同沥青品种、规格、喷油量的洒布面积，以平方米为单位计量</t>
  </si>
  <si>
    <t>1.检查、清扫下承层；
2.材料制备、运输；
3.试洒；
4.沥青洒布车均匀喷洒并检测洒布用量；
5.初期养护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</si>
  <si>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303-4-5</t>
  </si>
  <si>
    <t>封层</t>
  </si>
  <si>
    <t xml:space="preserve">      303-4-5-3</t>
  </si>
  <si>
    <t>稀浆封层</t>
  </si>
  <si>
    <t>依据图纸所示，按不同沥青种类、洒布量的洒布面积以平方米为单位计量</t>
  </si>
  <si>
    <t>1.检查、清扫下承层；
2.试洒；
3.沥青洒布车均匀喷洒并检测洒布用量；
4.铺撒矿料；
5.初期养护
其它：
1.为完成合格工程的其他内容费用（包括但不限于人工费、设备费、材料费、管理费、甲供材的二次转运及装卸费、税金、利润、工序不连续、施工地点分散、外部临时阻工等风险费用、钢材（含钢筋）上下车费及其他）。</t>
  </si>
  <si>
    <t>病害处治</t>
  </si>
  <si>
    <t xml:space="preserve">  503-1</t>
  </si>
  <si>
    <t>地表、围岩病害处治</t>
  </si>
  <si>
    <t xml:space="preserve">    503-1-2</t>
  </si>
  <si>
    <t>围岩压浆</t>
  </si>
  <si>
    <t xml:space="preserve">      503-1-2-1</t>
  </si>
  <si>
    <t>m</t>
  </si>
  <si>
    <t>依据图纸所示，按不同规格钻孔长度以米为单位计量</t>
  </si>
  <si>
    <t>1.安、拆、移钻机；
2.布眼、钻孔、清孔；
3.场地清理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</si>
  <si>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503-1-2-3</t>
  </si>
  <si>
    <t>压浆</t>
  </si>
  <si>
    <t xml:space="preserve">        503-1-2-3-3</t>
  </si>
  <si>
    <t>M30抗硫酸盐水泥砂浆</t>
  </si>
  <si>
    <t>依据图纸所示，按不同强度等级浆液体积，以立方米为单位计量</t>
  </si>
  <si>
    <t>1.安、拆、移注浆机；
2.顶进注浆钢管；
3.配、拌、运浆液；
4.压浆、堵孔、养护；
5.场地清理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</si>
  <si>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503-2</t>
  </si>
  <si>
    <t>洞身衬砌病害处治</t>
  </si>
  <si>
    <t xml:space="preserve">    503-2-1</t>
  </si>
  <si>
    <t>原有结构凿除</t>
  </si>
  <si>
    <t xml:space="preserve">      503-2-1-2</t>
  </si>
  <si>
    <t>凿除钢筋混凝土（废料运距1km以下）</t>
  </si>
  <si>
    <t>按实际凿除体积以立方米为单位计量</t>
  </si>
  <si>
    <t>1.凿除，废料清理、装卸、运输1km以下、定点堆放；
2.场地清理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</si>
  <si>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503-2-1-3</t>
  </si>
  <si>
    <t>凿除边沟、电缆沟（废料运距1km以下）</t>
  </si>
  <si>
    <t xml:space="preserve">      503-2-1-4</t>
  </si>
  <si>
    <t xml:space="preserve">    503-2-2</t>
  </si>
  <si>
    <t>钢筋及型钢</t>
  </si>
  <si>
    <t xml:space="preserve">      503-2-2-1</t>
  </si>
  <si>
    <t>衬砌钢筋</t>
  </si>
  <si>
    <t>kg</t>
  </si>
  <si>
    <t>依据图纸所示及钢筋表所列钢筋质量（不包括定位和固定钢筋），以千克为单位计量</t>
  </si>
  <si>
    <t xml:space="preserve">      503-2-2-5</t>
  </si>
  <si>
    <t>1.依据图纸所示，按不同材质、不同规格锚杆质量，以千克为单位计量</t>
  </si>
  <si>
    <t>1.金属材料的保护、储存及除锈；
2.材料加工、金属材料整直、截断、弯曲；
3.布眼、钻孔；
4.锚杆设置及注浆；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</si>
  <si>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503-2-2-6</t>
  </si>
  <si>
    <t>粘贴钢板/带加固</t>
  </si>
  <si>
    <t xml:space="preserve">        503-2-2-6-1</t>
  </si>
  <si>
    <t>厚6mm钢带</t>
  </si>
  <si>
    <t>依据图纸所示，按不同厚度钢板面积以平方米为单位计量</t>
  </si>
  <si>
    <t>1.放样划线，混凝土粘贴面凿刮、整平、打磨、缺陷修补、吹尘、清洗、干燥；
2.钢筋定位探测、钻孔、清孔、柱植筋胶、植筋；
3.钢板切割、钻孔、打磨、清污、涂粘贴基液，涂抹粘接胶，挂装、粘贴、紧固螺栓或挂装、紧固螺栓、密封胶封边，压住粘胶；
4.饱满性检测、清污、除锈、表面防腐涂装；
5.脚手架搭设、维护、保养、拆除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</si>
  <si>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503-2-2-7</t>
  </si>
  <si>
    <t>厚8mm边墙加固钢板</t>
  </si>
  <si>
    <t>依据图纸所示，按不同规格钢板质量，以千克为单位计量</t>
  </si>
  <si>
    <t>1. 放样划线，混凝土面整平、打磨、缺陷修补、吹尘、清洗、干燥；
2.金属材料的保护、储存及除锈；
3.材料加工、金属材料整直、截断、弯曲；
4.金属材料安设、支承及固定
5、脚手架搭设、维护、保养、拆除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</si>
  <si>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503-2-2-8</t>
  </si>
  <si>
    <t>临时支护工字钢</t>
  </si>
  <si>
    <t>依据图纸所示，按不同规格钢拱架质量，以千克为单位计量</t>
  </si>
  <si>
    <t>1.金属材料的保护、储存及除锈；
2.材料加工、金属材料整直、截断、弯曲；
3.金属材料接头；
4.金属材料安设、支承及固定
5、材料回收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</si>
  <si>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503-2-2-9</t>
  </si>
  <si>
    <t>植筋（φ22植入深度30cm）</t>
  </si>
  <si>
    <t>根</t>
  </si>
  <si>
    <t>按植筋数量，以根为单位计量</t>
  </si>
  <si>
    <t xml:space="preserve">    503-2-3</t>
  </si>
  <si>
    <t>结构混凝土</t>
  </si>
  <si>
    <t xml:space="preserve">      503-2-3-1</t>
  </si>
  <si>
    <t>C45防腐细石混凝土</t>
  </si>
  <si>
    <t>依据图纸所示，按不同强度等级、浇筑方式的混凝土体积，以立方米为单位计量</t>
  </si>
  <si>
    <t xml:space="preserve">    503-2-4</t>
  </si>
  <si>
    <t>衬砌裂缝处治</t>
  </si>
  <si>
    <t xml:space="preserve">      503-2-4-3</t>
  </si>
  <si>
    <t>改性聚氨酯类胶液斜缝注浆</t>
  </si>
  <si>
    <t>依据图纸所示，按处治裂缝长度以米为单位计量</t>
  </si>
  <si>
    <t xml:space="preserve">  503-3</t>
  </si>
  <si>
    <t>仰拱病害处治</t>
  </si>
  <si>
    <t xml:space="preserve">    503-3-2</t>
  </si>
  <si>
    <t>C25防腐蚀混凝土</t>
  </si>
  <si>
    <t>依据图纸所示，按不同强度等级混凝土体积，以立方米为单位计量</t>
  </si>
  <si>
    <t xml:space="preserve">  503-4</t>
  </si>
  <si>
    <t>渗漏水病害处治</t>
  </si>
  <si>
    <t xml:space="preserve">    503-4-1</t>
  </si>
  <si>
    <t>土工合成材料</t>
  </si>
  <si>
    <t xml:space="preserve">      503-4-1-1</t>
  </si>
  <si>
    <t>无纺布</t>
  </si>
  <si>
    <t>1.依据图纸所示，按照铺设的不同规格土工布面积以平方米为单位计量；
2.土工布包裹合成塑料排水管的土工布作为附属工作，不单独计量；
3.接缝的重叠面积和边缘的包裹面积不予计量</t>
  </si>
  <si>
    <t>1.基面处理；
2.下料、拼接就位、焊接拉紧、锚固
3.场地清理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</si>
  <si>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503-4-2</t>
  </si>
  <si>
    <t>隧道专用防水板</t>
  </si>
  <si>
    <t>依据图纸所示，按铺设的净面积（不计入按规范要求的搭接卷边部分）以平方米为单位计量</t>
  </si>
  <si>
    <t>1.敷设面处理；
2.敷设防水卷材及土工布；
3.搭接、固定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</si>
  <si>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503-4-15</t>
  </si>
  <si>
    <t>排水沟、电缆沟</t>
  </si>
  <si>
    <t xml:space="preserve">      503-4-15-1</t>
  </si>
  <si>
    <t>C30混凝土盖板</t>
  </si>
  <si>
    <t xml:space="preserve">      503-4-15-2</t>
  </si>
  <si>
    <t>C30现浇混凝土沟槽身</t>
  </si>
  <si>
    <t xml:space="preserve">      503-4-15-3</t>
  </si>
  <si>
    <t>沟槽钢筋</t>
  </si>
  <si>
    <t xml:space="preserve">      503-4-15-4</t>
  </si>
  <si>
    <t>型钢</t>
  </si>
  <si>
    <t>1.金属材料的保护、储存及除锈；
2.材料加工、金属材料整直、截断、弯曲；
3.金属材料接头；
4.金属材料安设、支承及固定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</si>
  <si>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503-4-15-5</t>
  </si>
  <si>
    <t>铁篦子</t>
  </si>
  <si>
    <t>依据图纸所示，按不同规格铁篦子质量，以千克为单位计量</t>
  </si>
  <si>
    <t>1.安设、支承及固定
2.场地清理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</si>
  <si>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503-6</t>
  </si>
  <si>
    <t>路面及其他设施维修</t>
  </si>
  <si>
    <t xml:space="preserve">    503-6-1</t>
  </si>
  <si>
    <t>洞内路面</t>
  </si>
  <si>
    <t xml:space="preserve">      503-6-1-1</t>
  </si>
  <si>
    <t>洞内路面混凝土</t>
  </si>
  <si>
    <t xml:space="preserve">        -a</t>
  </si>
  <si>
    <t>24cm厚C40抗硫酸混凝土基层</t>
  </si>
  <si>
    <t>依据图纸所示，按不同厚度、不同强度等级混凝土面积，以平方米为单位计量</t>
  </si>
  <si>
    <t xml:space="preserve">        -b</t>
  </si>
  <si>
    <t>20cm厚C35防腐蚀混凝土面板</t>
  </si>
  <si>
    <t xml:space="preserve">      503-6-1-2</t>
  </si>
  <si>
    <t>路面钢筋</t>
  </si>
  <si>
    <t>依据图纸所示及钢筋表所列钢筋质量（不包括定位和固定钢筋）以千克为单位计量</t>
  </si>
  <si>
    <t xml:space="preserve">      503-6-1-3</t>
  </si>
  <si>
    <t>挖除旧路面（废料运距1km以下）</t>
  </si>
  <si>
    <t>按实际挖除旧路面体积以立方米为单位计量</t>
  </si>
  <si>
    <t>1.凿打、挖除，废料清理、装卸、运输1km以下、定点堆放；
2.场地清理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</si>
  <si>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503-6-1-4</t>
  </si>
  <si>
    <t>废料超运（暂定29km）</t>
  </si>
  <si>
    <t xml:space="preserve">      503-6-1-5</t>
  </si>
  <si>
    <t>挖除松散体（废料运距1km以下）</t>
  </si>
  <si>
    <t>1.按实际挖除松散体体积以立方米为单位计量；
2. 废料超运费用纳入503-6-1-4中计量</t>
  </si>
  <si>
    <t>安全设施及预埋管线</t>
  </si>
  <si>
    <t>道路交通标线维护</t>
  </si>
  <si>
    <t xml:space="preserve">  605-1</t>
  </si>
  <si>
    <t>路面标线</t>
  </si>
  <si>
    <t xml:space="preserve">    605-1-11</t>
  </si>
  <si>
    <t>热熔型标线</t>
  </si>
  <si>
    <t>依据图纸所示，按标线（包括文字、箭头、图形）的净面积，以平方米为单位计量</t>
  </si>
  <si>
    <t>1.路面清扫；
2.刮涂底油，涂料加热溶解，喷（刮） 标线，撒布玻璃珠，初期养护
其它：
1.为完成合格工程的其他内容费用（包括但不限于人工费、设备费、材料费、管理费、甲供材的二次转运及装卸费、税金、利润、工序不连续、施工地点分散、外部临时阻工等风险费用、钢材（含钢筋）上下车费及其他）。</t>
  </si>
  <si>
    <t>合计</t>
  </si>
  <si>
    <t>项目名称:重庆高速公路集团有限公司东北营运分公司隧道病害处治施工项目（凤凰梁 ）</t>
  </si>
  <si>
    <t>Φ28普通砂浆锚杆</t>
  </si>
  <si>
    <t xml:space="preserve">    503-2-2-7</t>
  </si>
  <si>
    <t>C45防腐蚀混凝土</t>
  </si>
  <si>
    <t>钢筋</t>
  </si>
  <si>
    <t>项目名称:重庆高速公路集团有限公司东北营运分公司隧道病害处治施工项目（马垭口）</t>
  </si>
  <si>
    <t xml:space="preserve">    303-1-1</t>
  </si>
  <si>
    <t>沥青路面灌缝</t>
  </si>
  <si>
    <t xml:space="preserve">      303-1-1-1</t>
  </si>
  <si>
    <t>灌缝（裂缝宽度5mm 以下，含5mm）</t>
  </si>
  <si>
    <t>按实际灌缝长度以米为单位计量</t>
  </si>
  <si>
    <t>1.切缝；
2.清除缝中杂物；
3.灌填缝料
其它：
1.为完成合格工程的其他内容费用（包括但不限于人工费、设备费、材料费、管理费、甲供材的二次转运及装卸费、税金、利润、工序不连续、施工地点分散、外部临时阻工等风险费用、钢材（含钢筋）上下车费及其他）。</t>
  </si>
  <si>
    <t>C20现浇混凝土</t>
  </si>
  <si>
    <t xml:space="preserve">      303-1-3-4</t>
  </si>
  <si>
    <t>Φ48袖阀管</t>
  </si>
  <si>
    <t>项目名称:重庆高速公路集团有限公司东北营运分公司隧道病害处治施工项目（红岩）</t>
  </si>
  <si>
    <t xml:space="preserve">    503-1-1</t>
  </si>
  <si>
    <t>衬砌背面注浆</t>
  </si>
  <si>
    <t xml:space="preserve">      503-1-1-1</t>
  </si>
  <si>
    <t>Φ44*2注浆小导管</t>
  </si>
  <si>
    <t xml:space="preserve">      503-1-1-2</t>
  </si>
  <si>
    <t>注浆</t>
  </si>
  <si>
    <t xml:space="preserve">        503-1-1-2-2</t>
  </si>
  <si>
    <t>植筋（φ16植入深度25cm）</t>
  </si>
  <si>
    <t>C45防腐混凝土</t>
  </si>
  <si>
    <t>C25混凝土盖板</t>
  </si>
  <si>
    <t>C25现浇混凝土沟槽身</t>
  </si>
  <si>
    <t>项目名称:重庆高速公路集团有限公司东北营运分公司隧道病害处治施工项目（王家坪）</t>
  </si>
  <si>
    <t>8272.00</t>
  </si>
  <si>
    <t>45997.00</t>
  </si>
  <si>
    <t>744.47</t>
  </si>
  <si>
    <t>10000.00</t>
  </si>
  <si>
    <t>16545.00</t>
  </si>
  <si>
    <t>503</t>
  </si>
  <si>
    <t>项目名称:重庆高速公路集团有限公司东北营运分公司隧道病害处治施工项目（闵家）</t>
  </si>
  <si>
    <t>植筋（φ22植入深度22cm）</t>
  </si>
  <si>
    <t xml:space="preserve">超运距运输其它：
1.为完成合格工程的其他内容费用（包括但不限于人工费、设备费、材料费、管理费、甲供材的二次转运及装卸费、税金、利润、工序不连续、施工地点分散、外部临时阻工等风险费用、钢材（含钢筋）上下车费及其他）。
</t>
  </si>
  <si>
    <t>项目名称:重庆高速公路集团有限公司东北营运分公司隧道病害处治施工项目（营盘包）</t>
  </si>
  <si>
    <t>天次</t>
  </si>
  <si>
    <t>项目名称:重庆高速公路集团有限公司东北营运分公司隧道病害处治施工项目（孙家崖）</t>
  </si>
  <si>
    <t>Φ42*4注浆小导管</t>
  </si>
  <si>
    <t>.废料运距大于1km时，计算超运运量，以立方米为单位计量；
2.实际废料超运运距不为29km时，实际弃方超运单价=实际超运运距×(投标单价÷29)</t>
  </si>
  <si>
    <t>C30混凝土</t>
  </si>
  <si>
    <t xml:space="preserve">    503-3-3</t>
  </si>
  <si>
    <t>C15防腐蚀混凝土</t>
  </si>
  <si>
    <t xml:space="preserve">      503-4-1-2</t>
  </si>
  <si>
    <t>土工布</t>
  </si>
  <si>
    <t xml:space="preserve">    503-4-3</t>
  </si>
  <si>
    <t>排水管</t>
  </si>
  <si>
    <t xml:space="preserve">      503-4-3-2</t>
  </si>
  <si>
    <t>Φ100弹簧软式透水管</t>
  </si>
  <si>
    <t>依据图纸所示，按不同管径排水管的长度以米为单位计量</t>
  </si>
  <si>
    <t>1.水管布设、连接；
2.水管定位锚固；
3.场地清理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</si>
  <si>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503-4-3-3</t>
  </si>
  <si>
    <t>Φ100HDPE双壁单侧打孔波纹管</t>
  </si>
  <si>
    <t xml:space="preserve">      503-4-3-4</t>
  </si>
  <si>
    <t>Φ100HDPE 波纹管</t>
  </si>
  <si>
    <t xml:space="preserve">    503-4-4</t>
  </si>
  <si>
    <t>止水带</t>
  </si>
  <si>
    <t>依据图纸所示，按不同类型止水带长度以米为单位计量</t>
  </si>
  <si>
    <t>1.缝隙设置；
2.固定架安装；
3.止水带安装、拉紧、固定；
4.接头粘结；
5.场地清理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</si>
  <si>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503-4-5</t>
  </si>
  <si>
    <t>止水条</t>
  </si>
  <si>
    <t xml:space="preserve">      503-4-5-1</t>
  </si>
  <si>
    <t>ER2型变形缝</t>
  </si>
  <si>
    <t xml:space="preserve">    503-4-13</t>
  </si>
  <si>
    <t>橡胶类材料挤压填充</t>
  </si>
  <si>
    <t xml:space="preserve">    503-4-14</t>
  </si>
  <si>
    <t>切缝</t>
  </si>
  <si>
    <t>依据图纸所示，按实际切缝长度以米为单位计量</t>
  </si>
  <si>
    <t>1.放线；
2.固定架安装；
3.切缝；
4.场地清理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</si>
  <si>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503-4-15-6</t>
  </si>
  <si>
    <t>碎石回填</t>
  </si>
  <si>
    <t>依据图纸所示，按回填碎石体积以立方米为单位计量</t>
  </si>
  <si>
    <t>1.回填、夯实；
2.场地清理
其它：
1.为完成合格工程的其他内容费用（包括但不限于人工费、设备费、材料费、管理费、甲供材的二次转运及装卸费、税金、利润、工序不连续、施工地点分散、外部临时阻工等风险费用、钢材（含钢筋）上下车费及其他）。</t>
  </si>
  <si>
    <t>项目名称:重庆高速公路集团有限公司东北营运分公司隧道病害处治施工项目（奉云路）</t>
  </si>
  <si>
    <t xml:space="preserve">  110-6</t>
  </si>
  <si>
    <t>脚手架</t>
  </si>
  <si>
    <t>1. 脚手架进出场； 
2. 脚手架搭设、拆除、堆码；
3.安设防护设施；
4.场地清理</t>
  </si>
  <si>
    <t>保养维修</t>
  </si>
  <si>
    <t xml:space="preserve">  502-2</t>
  </si>
  <si>
    <t>洞内保养维修</t>
  </si>
  <si>
    <t xml:space="preserve">    502-2-1</t>
  </si>
  <si>
    <t xml:space="preserve">      502-2-1-3</t>
  </si>
  <si>
    <t>混凝土盖板更换</t>
  </si>
  <si>
    <t>1.拆除旧盖板，废料清理、装卸、运输、定点堆放；
2.模板制作、安装、拆除；
3 新盖板的预制、运输、装卸、安装养生；
4.场地清理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</si>
  <si>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502-2-1-7</t>
  </si>
  <si>
    <t>1.钢筋的保护、储存及除锈；
2.钢筋整直、接头；
3.钢筋截断、弯曲；
4.钢筋安设、支承及固定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</si>
  <si>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502-2-1-10</t>
  </si>
  <si>
    <t>排水沟中央井盖、检查井盖更换</t>
  </si>
  <si>
    <t>套</t>
  </si>
  <si>
    <t>依据图纸所示，按不同规格盖板数量以套为单位计量</t>
  </si>
  <si>
    <t>1.拆除旧井盖，废料清理、装卸、运输、定点堆放；
2.模板制作、安装、拆除；
3 新盖板的预制、运输、装卸、安装养生；
4.场地清理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</si>
  <si>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502-2-2</t>
  </si>
  <si>
    <t>引排渗漏水</t>
  </si>
  <si>
    <t xml:space="preserve">      502-2-2-7</t>
  </si>
  <si>
    <t>半剖Φ100聚氯乙烯管</t>
  </si>
  <si>
    <t>依据图纸所示，按排水管的长度以米为单位计量</t>
  </si>
  <si>
    <t>1.凿槽，废料清理、装卸、运输1km以下、定点堆放；
2.场地清理
2.埋设 PVC 排水管，引水；
3.场地清理
4.涂刷水泥基渗透结晶型防水涂料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</si>
  <si>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502-2-2-8</t>
  </si>
  <si>
    <t>钻孔排水（Φ100透水软管）</t>
  </si>
  <si>
    <t>依据图纸所示，按钻孔长度以米为单位计量</t>
  </si>
  <si>
    <t>1. 布眼、钻孔、清孔；
2. 埋设透水软管；
3.场地清理；
4.涂刷水泥基渗透结晶型防水涂料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</si>
  <si>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502-2-2-9</t>
  </si>
  <si>
    <t>不锈钢接水盒</t>
  </si>
  <si>
    <t>依据图纸所示，按不锈钢接水盒长度以米为单位计量</t>
  </si>
  <si>
    <t>1.基面处理；
2.安装不锈钢接水盒；
3.场地清理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</si>
  <si>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502-2-4</t>
  </si>
  <si>
    <t>洞身修补</t>
  </si>
  <si>
    <t xml:space="preserve">      502-2-4-1</t>
  </si>
  <si>
    <t>混凝土起层、破损处治</t>
  </si>
  <si>
    <t>1.凿槽、废料清理、装卸、运输1km以下、定点堆放；
2.接触面处理；
3.混凝土拌和、运输、修补、养生；
4.场地清理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</si>
  <si>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502-2-4-4</t>
  </si>
  <si>
    <t>衬砌裂纹、剥离、剥落处理</t>
  </si>
  <si>
    <t xml:space="preserve">        502-2-4-4-15</t>
  </si>
  <si>
    <t>修补衬砌混凝土表面（露筋剥落）</t>
  </si>
  <si>
    <t>依据图纸所示，按修补面积以平方米为单位计量</t>
  </si>
  <si>
    <t>1.凿槽、废料清理、装卸、运输1km以下、定点堆放；
2.基面清理；
3.清理表面；
4.钢筋网制安，细石混凝土运输、浇筑；
5.修补料处置；
6.场地清理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</si>
  <si>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502-2-4-19</t>
  </si>
  <si>
    <t xml:space="preserve">      503-2-4-4</t>
  </si>
  <si>
    <t>环氧树脂灌缝胶灌缝（0.3mm≤W＜0.6mm）</t>
  </si>
  <si>
    <t xml:space="preserve">      503-2-4-5</t>
  </si>
  <si>
    <t>骑缝钻孔注改性聚氨酯胶液（0.6mm≤W＜1.0mm）</t>
  </si>
  <si>
    <t xml:space="preserve">      503-2-4-6</t>
  </si>
  <si>
    <t>斜缝钻孔注改性聚氨酯胶液（W≥1.0mm）</t>
  </si>
  <si>
    <t xml:space="preserve">    503-4-8</t>
  </si>
  <si>
    <t>涂刷水泥基渗透结晶型材料</t>
  </si>
  <si>
    <t>依据图纸所示，按处治面积以平方米为单位计量</t>
  </si>
  <si>
    <t>凿除基面、清理基面、防水涂料配置、涂刷、养生
其它：
1.为完成合格工程的其他内容费用（包括但不限于人工费、设备费、材料费、管理费、甲供材的二次转运及装卸费、税金、利润、工序不连续、施工地点分散、外部临时阻工等风险费用、钢材（含钢筋）上下车费及其他）。</t>
  </si>
  <si>
    <t>项目名称:重庆高速公路集团有限公司东北营运分公司隧道病害处治施工项目（巫奉路）</t>
  </si>
  <si>
    <t>项目名称:重庆高速公路集团有限公司东北营运分公司隧道病害处治施工项目（奉溪路）</t>
  </si>
  <si>
    <t>砼配合比统计表</t>
  </si>
  <si>
    <t>标号</t>
  </si>
  <si>
    <t>使用
部位</t>
  </si>
  <si>
    <r>
      <rPr>
        <b/>
        <sz val="11"/>
        <rFont val="宋体"/>
        <family val="3"/>
        <charset val="134"/>
      </rPr>
      <t>1m3砼中各种材料用量</t>
    </r>
    <r>
      <rPr>
        <b/>
        <sz val="11"/>
        <color indexed="10"/>
        <rFont val="宋体"/>
        <family val="3"/>
        <charset val="134"/>
      </rPr>
      <t>(kg)</t>
    </r>
  </si>
  <si>
    <t>成本
(元)</t>
  </si>
  <si>
    <t>水泥</t>
  </si>
  <si>
    <t>砂</t>
  </si>
  <si>
    <t>碎石</t>
  </si>
  <si>
    <t>外加剂</t>
  </si>
  <si>
    <t>水</t>
  </si>
  <si>
    <t>拌合运输费</t>
  </si>
  <si>
    <t>P.O
42.5</t>
  </si>
  <si>
    <t>P.O
52.5</t>
  </si>
  <si>
    <t>材料单价(含增值税)</t>
  </si>
  <si>
    <t>M7.5</t>
  </si>
  <si>
    <t>原材料</t>
  </si>
  <si>
    <t>规格</t>
  </si>
  <si>
    <t>单价(元)</t>
  </si>
  <si>
    <t>C15</t>
  </si>
  <si>
    <t>中砂</t>
  </si>
  <si>
    <t>预制梁用</t>
  </si>
  <si>
    <t>C20</t>
  </si>
  <si>
    <t>C25</t>
  </si>
  <si>
    <t>C30</t>
  </si>
  <si>
    <t>C30水下</t>
  </si>
  <si>
    <t>P.s32.5袋</t>
  </si>
  <si>
    <t>t</t>
  </si>
  <si>
    <t>C35</t>
  </si>
  <si>
    <t>P.042.5散</t>
  </si>
  <si>
    <t>C40</t>
  </si>
  <si>
    <t>P.052.5散</t>
  </si>
  <si>
    <t>C50</t>
  </si>
  <si>
    <t>外加剂（减水剂）</t>
  </si>
  <si>
    <t xml:space="preserve">kg </t>
  </si>
  <si>
    <t>C20喷射</t>
  </si>
  <si>
    <t>C25喷射</t>
  </si>
  <si>
    <t>M20</t>
  </si>
  <si>
    <t>外加剂（速凝剂）</t>
  </si>
  <si>
    <t>砼材料目标用量统计表</t>
  </si>
  <si>
    <t>砂石比重</t>
  </si>
  <si>
    <t>目标数量
（m3）</t>
  </si>
  <si>
    <t>水泥(t)</t>
  </si>
  <si>
    <t>砂
(m3)</t>
  </si>
  <si>
    <t>碎石
(m3)</t>
  </si>
  <si>
    <t>外加剂
(t)</t>
  </si>
  <si>
    <t>水
(t)</t>
  </si>
  <si>
    <t>中粗砂比重</t>
  </si>
  <si>
    <t>t/m³</t>
  </si>
  <si>
    <t>碎石比重</t>
  </si>
  <si>
    <t>路基
工程</t>
  </si>
  <si>
    <t>桥涵
工程</t>
  </si>
  <si>
    <t>C15砼</t>
  </si>
  <si>
    <t>C20砼</t>
  </si>
  <si>
    <t>C25砼</t>
  </si>
  <si>
    <t>C30砼</t>
  </si>
  <si>
    <t>C35砼</t>
  </si>
  <si>
    <t>C40砼</t>
  </si>
  <si>
    <t>C50砼</t>
  </si>
  <si>
    <t>隧道工程</t>
  </si>
  <si>
    <r>
      <rPr>
        <sz val="10"/>
        <rFont val="Arial"/>
        <family val="2"/>
      </rPr>
      <t>C20</t>
    </r>
    <r>
      <rPr>
        <sz val="10"/>
        <rFont val="宋体"/>
        <family val="3"/>
        <charset val="134"/>
      </rPr>
      <t>、</t>
    </r>
    <r>
      <rPr>
        <sz val="10"/>
        <rFont val="Arial"/>
        <family val="2"/>
      </rPr>
      <t>C25</t>
    </r>
    <r>
      <rPr>
        <sz val="10"/>
        <rFont val="宋体"/>
        <family val="3"/>
        <charset val="134"/>
      </rPr>
      <t>喷射</t>
    </r>
  </si>
  <si>
    <t>M20水泥浆</t>
  </si>
  <si>
    <t>总计</t>
  </si>
  <si>
    <t>名称</t>
  </si>
  <si>
    <t>标号及单位</t>
  </si>
  <si>
    <t>单价</t>
  </si>
  <si>
    <t>金额</t>
  </si>
  <si>
    <t>中砂（梁板）</t>
  </si>
  <si>
    <t>梧州养护3标材料单价表</t>
  </si>
  <si>
    <t xml:space="preserve">                                                   </t>
  </si>
  <si>
    <t xml:space="preserve"> 单位：元</t>
  </si>
  <si>
    <t>不含税</t>
  </si>
  <si>
    <t>含税</t>
  </si>
  <si>
    <t>税率</t>
  </si>
  <si>
    <t>中砂预制梁用（河砂）</t>
  </si>
  <si>
    <t>碎石场加工自供</t>
  </si>
  <si>
    <t>中砂（机制砂）</t>
  </si>
  <si>
    <t>水泥P.s32.5袋</t>
  </si>
  <si>
    <t>水泥P.042.5散</t>
  </si>
  <si>
    <t>水泥P.052.5散</t>
  </si>
  <si>
    <t>速凝剂</t>
  </si>
  <si>
    <t>光圆钢筋（HPB300)</t>
  </si>
  <si>
    <t>带肋钢筋（HRB400)</t>
  </si>
  <si>
    <t>钢板</t>
  </si>
  <si>
    <t>钢筋焊网</t>
  </si>
  <si>
    <t>其他钢材</t>
  </si>
  <si>
    <t>冷轧带肋钢筋网</t>
  </si>
  <si>
    <t>预应力钢绞线锚具</t>
  </si>
  <si>
    <t>声测管</t>
  </si>
  <si>
    <t>Ф57*3检测管</t>
  </si>
  <si>
    <t>Ф70*6套管</t>
  </si>
  <si>
    <t>㎡</t>
  </si>
  <si>
    <t>EVA防水板</t>
  </si>
  <si>
    <t>锚杆螺母</t>
  </si>
  <si>
    <t>钢管( Φ108×6mm)</t>
  </si>
  <si>
    <t>水玻璃</t>
  </si>
  <si>
    <t>φ133×4孔口管</t>
  </si>
  <si>
    <t>φ110mm半边打孔PE管</t>
  </si>
  <si>
    <t>φ100mm半圆管</t>
  </si>
  <si>
    <t>超前小导管（Φ42×4mm）</t>
  </si>
  <si>
    <t>Φ25中空注浆锚杆</t>
  </si>
  <si>
    <t>锚杆垫板</t>
  </si>
  <si>
    <t>Φ22砂浆锚杆</t>
  </si>
  <si>
    <t>C15混凝土</t>
  </si>
  <si>
    <t>套用配合比</t>
  </si>
  <si>
    <t>C20混凝土</t>
  </si>
  <si>
    <t>C25混凝土</t>
  </si>
  <si>
    <t>C30水下混凝土</t>
  </si>
  <si>
    <t>C35混凝土</t>
  </si>
  <si>
    <t>C40混凝土</t>
  </si>
  <si>
    <t>C50混凝土</t>
  </si>
  <si>
    <t>C20喷射混凝土</t>
  </si>
  <si>
    <t>C25喷射混凝土</t>
  </si>
  <si>
    <t>后张法预应力钢绞线</t>
  </si>
  <si>
    <t>支座</t>
  </si>
  <si>
    <t>GYZ300×63mm(NR)</t>
  </si>
  <si>
    <t>dm³</t>
  </si>
  <si>
    <t>型号</t>
  </si>
  <si>
    <t>dm3/套</t>
  </si>
  <si>
    <t>单价（元/dm3）</t>
  </si>
  <si>
    <t>单价（元/套）</t>
  </si>
  <si>
    <t>橡胶支座单价</t>
  </si>
  <si>
    <t>GYZ450×99mm(NR)</t>
  </si>
  <si>
    <t>GYZ500×110mm</t>
  </si>
  <si>
    <t>GYZF4275×65mm(NR)</t>
  </si>
  <si>
    <t>GYZF4450×86mm(NR)</t>
  </si>
  <si>
    <r>
      <rPr>
        <sz val="10"/>
        <rFont val="宋体"/>
        <family val="3"/>
        <charset val="134"/>
      </rPr>
      <t>GYZF</t>
    </r>
    <r>
      <rPr>
        <vertAlign val="subscript"/>
        <sz val="10"/>
        <rFont val="宋体"/>
        <family val="3"/>
        <charset val="134"/>
      </rPr>
      <t>4</t>
    </r>
    <r>
      <rPr>
        <sz val="10"/>
        <rFont val="宋体"/>
        <family val="3"/>
        <charset val="134"/>
      </rPr>
      <t>275×65mm(NR)</t>
    </r>
  </si>
  <si>
    <t>GYZF4500×92mm</t>
  </si>
  <si>
    <r>
      <rPr>
        <sz val="10"/>
        <rFont val="宋体"/>
        <family val="3"/>
        <charset val="134"/>
      </rPr>
      <t>GYZF</t>
    </r>
    <r>
      <rPr>
        <vertAlign val="subscript"/>
        <sz val="10"/>
        <rFont val="宋体"/>
        <family val="3"/>
        <charset val="134"/>
      </rPr>
      <t>4</t>
    </r>
    <r>
      <rPr>
        <sz val="10"/>
        <rFont val="宋体"/>
        <family val="3"/>
        <charset val="134"/>
      </rPr>
      <t>450×86mm(NR)</t>
    </r>
  </si>
  <si>
    <t>伸缩缝</t>
  </si>
  <si>
    <t>D80</t>
  </si>
  <si>
    <r>
      <rPr>
        <sz val="10"/>
        <rFont val="宋体"/>
        <family val="3"/>
        <charset val="134"/>
      </rPr>
      <t>GYZF</t>
    </r>
    <r>
      <rPr>
        <vertAlign val="subscript"/>
        <sz val="10"/>
        <rFont val="宋体"/>
        <family val="3"/>
        <charset val="134"/>
      </rPr>
      <t>4</t>
    </r>
    <r>
      <rPr>
        <sz val="10"/>
        <rFont val="宋体"/>
        <family val="3"/>
        <charset val="134"/>
      </rPr>
      <t>500×92mm</t>
    </r>
  </si>
  <si>
    <t>D160</t>
  </si>
  <si>
    <t>波纹管</t>
  </si>
  <si>
    <t>SBG-50Y高密度聚乙烯波纹管</t>
  </si>
  <si>
    <t xml:space="preserve">m </t>
  </si>
  <si>
    <t>SBG-60Y高密度聚乙烯波纹管</t>
  </si>
  <si>
    <t>SBG-70Y高密度聚乙烯波纹管</t>
  </si>
  <si>
    <t>SBG-75Y高密度聚乙烯波纹管</t>
  </si>
  <si>
    <t>SBG-90B高密度聚乙烯波纹管</t>
  </si>
  <si>
    <t>锚具</t>
  </si>
  <si>
    <t>BM15-4型锚具</t>
  </si>
  <si>
    <t>M15-11型锚具</t>
  </si>
  <si>
    <t>M15-10型锚具</t>
  </si>
  <si>
    <t>M15-9型锚具</t>
  </si>
  <si>
    <t>M15-8型锚具</t>
  </si>
  <si>
    <t>M15-6型锚具</t>
  </si>
  <si>
    <t>M15-5型锚具</t>
  </si>
  <si>
    <t>M15-4型锚具</t>
  </si>
  <si>
    <t>铸铁泄水管</t>
  </si>
  <si>
    <t>工程间接费测算</t>
  </si>
  <si>
    <t>成本名称</t>
  </si>
  <si>
    <t>计算依据</t>
  </si>
  <si>
    <t>工程施工-间接费</t>
  </si>
  <si>
    <t>*</t>
  </si>
  <si>
    <t>1、管理人员工资薪金</t>
  </si>
  <si>
    <t>由人力资源部按照编制人数测定</t>
  </si>
  <si>
    <t>2、福利费</t>
  </si>
  <si>
    <t>-过节费</t>
  </si>
  <si>
    <r>
      <rPr>
        <sz val="11"/>
        <color indexed="8"/>
        <rFont val="宋体"/>
        <family val="3"/>
        <charset val="134"/>
      </rPr>
      <t>春节、中秋节，</t>
    </r>
    <r>
      <rPr>
        <sz val="11"/>
        <color indexed="8"/>
        <rFont val="Arial Narrow"/>
        <family val="2"/>
      </rPr>
      <t>500</t>
    </r>
    <r>
      <rPr>
        <sz val="11"/>
        <color indexed="8"/>
        <rFont val="宋体"/>
        <family val="3"/>
        <charset val="134"/>
      </rPr>
      <t>元</t>
    </r>
    <r>
      <rPr>
        <sz val="11"/>
        <color indexed="8"/>
        <rFont val="Arial Narrow"/>
        <family val="2"/>
      </rPr>
      <t>/</t>
    </r>
    <r>
      <rPr>
        <sz val="11"/>
        <color indexed="8"/>
        <rFont val="宋体"/>
        <family val="3"/>
        <charset val="134"/>
      </rPr>
      <t>人</t>
    </r>
    <r>
      <rPr>
        <sz val="11"/>
        <color indexed="8"/>
        <rFont val="Arial Narrow"/>
        <family val="2"/>
      </rPr>
      <t>*68</t>
    </r>
    <r>
      <rPr>
        <sz val="11"/>
        <color indexed="8"/>
        <rFont val="宋体"/>
        <family val="3"/>
        <charset val="134"/>
      </rPr>
      <t>人</t>
    </r>
    <r>
      <rPr>
        <sz val="11"/>
        <color indexed="8"/>
        <rFont val="Arial Narrow"/>
        <family val="2"/>
      </rPr>
      <t>*4</t>
    </r>
    <r>
      <rPr>
        <sz val="11"/>
        <color indexed="8"/>
        <rFont val="宋体"/>
        <family val="3"/>
        <charset val="134"/>
      </rPr>
      <t>年</t>
    </r>
    <r>
      <rPr>
        <sz val="11"/>
        <color indexed="8"/>
        <rFont val="Arial Narrow"/>
        <family val="2"/>
      </rPr>
      <t>=136000</t>
    </r>
  </si>
  <si>
    <t>-大事福利</t>
  </si>
  <si>
    <r>
      <rPr>
        <sz val="11"/>
        <color indexed="8"/>
        <rFont val="宋体"/>
        <family val="3"/>
        <charset val="134"/>
      </rPr>
      <t>按照丧、婚、育平均每年次</t>
    </r>
    <r>
      <rPr>
        <sz val="11"/>
        <color indexed="8"/>
        <rFont val="Arial Narrow"/>
        <family val="2"/>
      </rPr>
      <t>5</t>
    </r>
    <r>
      <rPr>
        <sz val="11"/>
        <color indexed="8"/>
        <rFont val="宋体"/>
        <family val="3"/>
        <charset val="134"/>
      </rPr>
      <t>人</t>
    </r>
    <r>
      <rPr>
        <sz val="11"/>
        <color indexed="8"/>
        <rFont val="Arial Narrow"/>
        <family val="2"/>
      </rPr>
      <t>*2000*4=40000</t>
    </r>
  </si>
  <si>
    <t>-伙食费</t>
  </si>
  <si>
    <r>
      <rPr>
        <sz val="11"/>
        <color indexed="8"/>
        <rFont val="宋体"/>
        <family val="3"/>
        <charset val="134"/>
      </rPr>
      <t>外部人员就餐</t>
    </r>
    <r>
      <rPr>
        <sz val="11"/>
        <color indexed="8"/>
        <rFont val="Arial Narrow"/>
        <family val="2"/>
      </rPr>
      <t>10</t>
    </r>
    <r>
      <rPr>
        <sz val="11"/>
        <color indexed="8"/>
        <rFont val="宋体"/>
        <family val="3"/>
        <charset val="134"/>
      </rPr>
      <t>人</t>
    </r>
    <r>
      <rPr>
        <sz val="11"/>
        <color indexed="8"/>
        <rFont val="Arial Narrow"/>
        <family val="2"/>
      </rPr>
      <t>/</t>
    </r>
    <r>
      <rPr>
        <sz val="11"/>
        <color indexed="8"/>
        <rFont val="宋体"/>
        <family val="3"/>
        <charset val="134"/>
      </rPr>
      <t>每月</t>
    </r>
    <r>
      <rPr>
        <sz val="11"/>
        <color indexed="8"/>
        <rFont val="Arial Narrow"/>
        <family val="2"/>
      </rPr>
      <t>*12</t>
    </r>
    <r>
      <rPr>
        <sz val="11"/>
        <color indexed="8"/>
        <rFont val="宋体"/>
        <family val="3"/>
        <charset val="134"/>
      </rPr>
      <t>个月</t>
    </r>
    <r>
      <rPr>
        <sz val="11"/>
        <color indexed="8"/>
        <rFont val="Arial Narrow"/>
        <family val="2"/>
      </rPr>
      <t>*4</t>
    </r>
    <r>
      <rPr>
        <sz val="11"/>
        <color indexed="8"/>
        <rFont val="宋体"/>
        <family val="3"/>
        <charset val="134"/>
      </rPr>
      <t>年，编制</t>
    </r>
    <r>
      <rPr>
        <sz val="11"/>
        <color indexed="8"/>
        <rFont val="Arial Narrow"/>
        <family val="2"/>
      </rPr>
      <t>68</t>
    </r>
    <r>
      <rPr>
        <sz val="11"/>
        <color indexed="8"/>
        <rFont val="宋体"/>
        <family val="3"/>
        <charset val="134"/>
      </rPr>
      <t>人，外租车</t>
    </r>
    <r>
      <rPr>
        <sz val="11"/>
        <color indexed="8"/>
        <rFont val="Arial Narrow"/>
        <family val="2"/>
      </rPr>
      <t>5</t>
    </r>
    <r>
      <rPr>
        <sz val="11"/>
        <color indexed="8"/>
        <rFont val="宋体"/>
        <family val="3"/>
        <charset val="134"/>
      </rPr>
      <t>人，按照</t>
    </r>
    <r>
      <rPr>
        <sz val="11"/>
        <color indexed="8"/>
        <rFont val="Arial Narrow"/>
        <family val="2"/>
      </rPr>
      <t>16</t>
    </r>
    <r>
      <rPr>
        <sz val="11"/>
        <color indexed="8"/>
        <rFont val="宋体"/>
        <family val="3"/>
        <charset val="134"/>
      </rPr>
      <t>元</t>
    </r>
    <r>
      <rPr>
        <sz val="11"/>
        <color indexed="8"/>
        <rFont val="Arial Narrow"/>
        <family val="2"/>
      </rPr>
      <t>/</t>
    </r>
    <r>
      <rPr>
        <sz val="11"/>
        <color indexed="8"/>
        <rFont val="宋体"/>
        <family val="3"/>
        <charset val="134"/>
      </rPr>
      <t>天计算，</t>
    </r>
    <r>
      <rPr>
        <sz val="11"/>
        <color indexed="8"/>
        <rFont val="Arial Narrow"/>
        <family val="2"/>
      </rPr>
      <t>71</t>
    </r>
    <r>
      <rPr>
        <sz val="11"/>
        <color indexed="8"/>
        <rFont val="宋体"/>
        <family val="3"/>
        <charset val="134"/>
      </rPr>
      <t>人</t>
    </r>
    <r>
      <rPr>
        <sz val="11"/>
        <color indexed="8"/>
        <rFont val="Arial Narrow"/>
        <family val="2"/>
      </rPr>
      <t>*15</t>
    </r>
    <r>
      <rPr>
        <sz val="11"/>
        <color indexed="8"/>
        <rFont val="宋体"/>
        <family val="3"/>
        <charset val="134"/>
      </rPr>
      <t>元</t>
    </r>
    <r>
      <rPr>
        <sz val="11"/>
        <color indexed="8"/>
        <rFont val="Arial Narrow"/>
        <family val="2"/>
      </rPr>
      <t>/</t>
    </r>
    <r>
      <rPr>
        <sz val="11"/>
        <color indexed="8"/>
        <rFont val="宋体"/>
        <family val="3"/>
        <charset val="134"/>
      </rPr>
      <t>天</t>
    </r>
    <r>
      <rPr>
        <sz val="11"/>
        <color indexed="8"/>
        <rFont val="Arial Narrow"/>
        <family val="2"/>
      </rPr>
      <t>*30</t>
    </r>
    <r>
      <rPr>
        <sz val="11"/>
        <color indexed="8"/>
        <rFont val="宋体"/>
        <family val="3"/>
        <charset val="134"/>
      </rPr>
      <t>天</t>
    </r>
    <r>
      <rPr>
        <sz val="11"/>
        <color indexed="8"/>
        <rFont val="Arial Narrow"/>
        <family val="2"/>
      </rPr>
      <t>*12</t>
    </r>
    <r>
      <rPr>
        <sz val="11"/>
        <color indexed="8"/>
        <rFont val="宋体"/>
        <family val="3"/>
        <charset val="134"/>
      </rPr>
      <t>个月</t>
    </r>
    <r>
      <rPr>
        <sz val="11"/>
        <color indexed="8"/>
        <rFont val="Arial Narrow"/>
        <family val="2"/>
      </rPr>
      <t>*4</t>
    </r>
    <r>
      <rPr>
        <sz val="11"/>
        <color indexed="8"/>
        <rFont val="宋体"/>
        <family val="3"/>
        <charset val="134"/>
      </rPr>
      <t>年，元旦、中秋、端午加餐费</t>
    </r>
    <r>
      <rPr>
        <sz val="11"/>
        <color indexed="8"/>
        <rFont val="Arial Narrow"/>
        <family val="2"/>
      </rPr>
      <t>50</t>
    </r>
    <r>
      <rPr>
        <sz val="11"/>
        <color indexed="8"/>
        <rFont val="宋体"/>
        <family val="3"/>
        <charset val="134"/>
      </rPr>
      <t>元</t>
    </r>
    <r>
      <rPr>
        <sz val="11"/>
        <color indexed="8"/>
        <rFont val="Arial Narrow"/>
        <family val="2"/>
      </rPr>
      <t>/</t>
    </r>
    <r>
      <rPr>
        <sz val="11"/>
        <color indexed="8"/>
        <rFont val="宋体"/>
        <family val="3"/>
        <charset val="134"/>
      </rPr>
      <t>人</t>
    </r>
    <r>
      <rPr>
        <sz val="11"/>
        <color indexed="8"/>
        <rFont val="Arial Narrow"/>
        <family val="2"/>
      </rPr>
      <t>*71</t>
    </r>
    <r>
      <rPr>
        <sz val="11"/>
        <color indexed="8"/>
        <rFont val="宋体"/>
        <family val="3"/>
        <charset val="134"/>
      </rPr>
      <t>人</t>
    </r>
    <r>
      <rPr>
        <sz val="11"/>
        <color indexed="8"/>
        <rFont val="Arial Narrow"/>
        <family val="2"/>
      </rPr>
      <t>*4</t>
    </r>
    <r>
      <rPr>
        <sz val="11"/>
        <color indexed="8"/>
        <rFont val="宋体"/>
        <family val="3"/>
        <charset val="134"/>
      </rPr>
      <t>年，春节留守人员</t>
    </r>
    <r>
      <rPr>
        <sz val="11"/>
        <color indexed="8"/>
        <rFont val="Arial Narrow"/>
        <family val="2"/>
      </rPr>
      <t>5</t>
    </r>
    <r>
      <rPr>
        <sz val="11"/>
        <color indexed="8"/>
        <rFont val="宋体"/>
        <family val="3"/>
        <charset val="134"/>
      </rPr>
      <t>人</t>
    </r>
    <r>
      <rPr>
        <sz val="11"/>
        <color indexed="8"/>
        <rFont val="Arial Narrow"/>
        <family val="2"/>
      </rPr>
      <t>*2000</t>
    </r>
    <r>
      <rPr>
        <sz val="11"/>
        <color indexed="8"/>
        <rFont val="宋体"/>
        <family val="3"/>
        <charset val="134"/>
      </rPr>
      <t>元</t>
    </r>
    <r>
      <rPr>
        <sz val="11"/>
        <color indexed="8"/>
        <rFont val="Arial Narrow"/>
        <family val="2"/>
      </rPr>
      <t>/</t>
    </r>
    <r>
      <rPr>
        <sz val="11"/>
        <color indexed="8"/>
        <rFont val="宋体"/>
        <family val="3"/>
        <charset val="134"/>
      </rPr>
      <t>人</t>
    </r>
    <r>
      <rPr>
        <sz val="11"/>
        <color indexed="8"/>
        <rFont val="Arial Narrow"/>
        <family val="2"/>
      </rPr>
      <t>*4</t>
    </r>
    <r>
      <rPr>
        <sz val="11"/>
        <color indexed="8"/>
        <rFont val="宋体"/>
        <family val="3"/>
        <charset val="134"/>
      </rPr>
      <t>年</t>
    </r>
  </si>
  <si>
    <t>-探亲费用</t>
  </si>
  <si>
    <r>
      <rPr>
        <sz val="11"/>
        <color indexed="8"/>
        <rFont val="宋体"/>
        <family val="3"/>
        <charset val="134"/>
      </rPr>
      <t>南方探亲费</t>
    </r>
    <r>
      <rPr>
        <sz val="11"/>
        <color indexed="8"/>
        <rFont val="Arial Narrow"/>
        <family val="2"/>
      </rPr>
      <t>500</t>
    </r>
    <r>
      <rPr>
        <sz val="11"/>
        <color indexed="8"/>
        <rFont val="宋体"/>
        <family val="3"/>
        <charset val="134"/>
      </rPr>
      <t>元</t>
    </r>
    <r>
      <rPr>
        <sz val="11"/>
        <color indexed="8"/>
        <rFont val="Arial Narrow"/>
        <family val="2"/>
      </rPr>
      <t>/</t>
    </r>
    <r>
      <rPr>
        <sz val="11"/>
        <color indexed="8"/>
        <rFont val="宋体"/>
        <family val="3"/>
        <charset val="134"/>
      </rPr>
      <t>人（</t>
    </r>
    <r>
      <rPr>
        <sz val="11"/>
        <color indexed="8"/>
        <rFont val="Arial Narrow"/>
        <family val="2"/>
      </rPr>
      <t>10</t>
    </r>
    <r>
      <rPr>
        <sz val="11"/>
        <color indexed="8"/>
        <rFont val="宋体"/>
        <family val="3"/>
        <charset val="134"/>
      </rPr>
      <t>人）；北方探亲费</t>
    </r>
    <r>
      <rPr>
        <sz val="11"/>
        <color indexed="8"/>
        <rFont val="Arial Narrow"/>
        <family val="2"/>
      </rPr>
      <t>3000</t>
    </r>
    <r>
      <rPr>
        <sz val="11"/>
        <color indexed="8"/>
        <rFont val="宋体"/>
        <family val="3"/>
        <charset val="134"/>
      </rPr>
      <t>元</t>
    </r>
    <r>
      <rPr>
        <sz val="11"/>
        <color indexed="8"/>
        <rFont val="Arial Narrow"/>
        <family val="2"/>
      </rPr>
      <t>/</t>
    </r>
    <r>
      <rPr>
        <sz val="11"/>
        <color indexed="8"/>
        <rFont val="宋体"/>
        <family val="3"/>
        <charset val="134"/>
      </rPr>
      <t>人（</t>
    </r>
    <r>
      <rPr>
        <sz val="11"/>
        <color indexed="8"/>
        <rFont val="Arial Narrow"/>
        <family val="2"/>
      </rPr>
      <t>58</t>
    </r>
    <r>
      <rPr>
        <sz val="11"/>
        <color indexed="8"/>
        <rFont val="宋体"/>
        <family val="3"/>
        <charset val="134"/>
      </rPr>
      <t>人）</t>
    </r>
  </si>
  <si>
    <t>-电话费补助</t>
  </si>
  <si>
    <r>
      <rPr>
        <sz val="11"/>
        <color indexed="8"/>
        <rFont val="宋体"/>
        <family val="3"/>
        <charset val="134"/>
      </rPr>
      <t>按照人员</t>
    </r>
    <r>
      <rPr>
        <sz val="11"/>
        <color indexed="8"/>
        <rFont val="Arial Narrow"/>
        <family val="2"/>
      </rPr>
      <t>68</t>
    </r>
    <r>
      <rPr>
        <sz val="11"/>
        <color indexed="8"/>
        <rFont val="宋体"/>
        <family val="3"/>
        <charset val="134"/>
      </rPr>
      <t>人进行计算，每人每月</t>
    </r>
    <r>
      <rPr>
        <sz val="11"/>
        <color indexed="8"/>
        <rFont val="Arial Narrow"/>
        <family val="2"/>
      </rPr>
      <t>150</t>
    </r>
    <r>
      <rPr>
        <sz val="11"/>
        <color indexed="8"/>
        <rFont val="宋体"/>
        <family val="3"/>
        <charset val="134"/>
      </rPr>
      <t>元；</t>
    </r>
    <r>
      <rPr>
        <sz val="11"/>
        <color indexed="8"/>
        <rFont val="Arial Narrow"/>
        <family val="2"/>
      </rPr>
      <t>150</t>
    </r>
    <r>
      <rPr>
        <sz val="11"/>
        <color indexed="8"/>
        <rFont val="宋体"/>
        <family val="3"/>
        <charset val="134"/>
      </rPr>
      <t>元</t>
    </r>
    <r>
      <rPr>
        <sz val="11"/>
        <color indexed="8"/>
        <rFont val="Arial Narrow"/>
        <family val="2"/>
      </rPr>
      <t>/</t>
    </r>
    <r>
      <rPr>
        <sz val="11"/>
        <color indexed="8"/>
        <rFont val="宋体"/>
        <family val="3"/>
        <charset val="134"/>
      </rPr>
      <t>人</t>
    </r>
    <r>
      <rPr>
        <sz val="11"/>
        <color indexed="8"/>
        <rFont val="Arial Narrow"/>
        <family val="2"/>
      </rPr>
      <t>/</t>
    </r>
    <r>
      <rPr>
        <sz val="11"/>
        <color indexed="8"/>
        <rFont val="宋体"/>
        <family val="3"/>
        <charset val="134"/>
      </rPr>
      <t>月</t>
    </r>
    <r>
      <rPr>
        <sz val="11"/>
        <color indexed="8"/>
        <rFont val="Arial Narrow"/>
        <family val="2"/>
      </rPr>
      <t>*12</t>
    </r>
    <r>
      <rPr>
        <sz val="11"/>
        <color indexed="8"/>
        <rFont val="宋体"/>
        <family val="3"/>
        <charset val="134"/>
      </rPr>
      <t>个月</t>
    </r>
    <r>
      <rPr>
        <sz val="11"/>
        <color indexed="8"/>
        <rFont val="Arial Narrow"/>
        <family val="2"/>
      </rPr>
      <t>*68</t>
    </r>
    <r>
      <rPr>
        <sz val="11"/>
        <color indexed="8"/>
        <rFont val="宋体"/>
        <family val="3"/>
        <charset val="134"/>
      </rPr>
      <t>人</t>
    </r>
    <r>
      <rPr>
        <sz val="11"/>
        <color indexed="8"/>
        <rFont val="Arial Narrow"/>
        <family val="2"/>
      </rPr>
      <t>*4</t>
    </r>
    <r>
      <rPr>
        <sz val="11"/>
        <color indexed="8"/>
        <rFont val="宋体"/>
        <family val="3"/>
        <charset val="134"/>
      </rPr>
      <t>年</t>
    </r>
  </si>
  <si>
    <t>-其他</t>
  </si>
  <si>
    <r>
      <rPr>
        <sz val="11"/>
        <color indexed="8"/>
        <rFont val="宋体"/>
        <family val="3"/>
        <charset val="134"/>
      </rPr>
      <t>聚餐费</t>
    </r>
    <r>
      <rPr>
        <sz val="11"/>
        <color indexed="8"/>
        <rFont val="Arial Narrow"/>
        <family val="2"/>
      </rPr>
      <t>2000</t>
    </r>
    <r>
      <rPr>
        <sz val="11"/>
        <color indexed="8"/>
        <rFont val="宋体"/>
        <family val="3"/>
        <charset val="134"/>
      </rPr>
      <t>元</t>
    </r>
    <r>
      <rPr>
        <sz val="11"/>
        <color indexed="8"/>
        <rFont val="Arial Narrow"/>
        <family val="2"/>
      </rPr>
      <t>/</t>
    </r>
    <r>
      <rPr>
        <sz val="11"/>
        <color indexed="8"/>
        <rFont val="宋体"/>
        <family val="3"/>
        <charset val="134"/>
      </rPr>
      <t>月，厨房用品</t>
    </r>
    <r>
      <rPr>
        <sz val="11"/>
        <color indexed="8"/>
        <rFont val="Arial Narrow"/>
        <family val="2"/>
      </rPr>
      <t>2000</t>
    </r>
    <r>
      <rPr>
        <sz val="11"/>
        <color indexed="8"/>
        <rFont val="宋体"/>
        <family val="3"/>
        <charset val="134"/>
      </rPr>
      <t>元</t>
    </r>
    <r>
      <rPr>
        <sz val="11"/>
        <color indexed="8"/>
        <rFont val="Arial Narrow"/>
        <family val="2"/>
      </rPr>
      <t>/</t>
    </r>
    <r>
      <rPr>
        <sz val="11"/>
        <color indexed="8"/>
        <rFont val="宋体"/>
        <family val="3"/>
        <charset val="134"/>
      </rPr>
      <t>月（两个厨房），误餐费</t>
    </r>
    <r>
      <rPr>
        <sz val="11"/>
        <color indexed="8"/>
        <rFont val="Arial Narrow"/>
        <family val="2"/>
      </rPr>
      <t>2000</t>
    </r>
    <r>
      <rPr>
        <sz val="11"/>
        <color indexed="8"/>
        <rFont val="宋体"/>
        <family val="3"/>
        <charset val="134"/>
      </rPr>
      <t>元</t>
    </r>
    <r>
      <rPr>
        <sz val="11"/>
        <color indexed="8"/>
        <rFont val="Arial Narrow"/>
        <family val="2"/>
      </rPr>
      <t>/</t>
    </r>
    <r>
      <rPr>
        <sz val="11"/>
        <color indexed="8"/>
        <rFont val="宋体"/>
        <family val="3"/>
        <charset val="134"/>
      </rPr>
      <t>月，生活（办公室）用品</t>
    </r>
    <r>
      <rPr>
        <sz val="11"/>
        <color indexed="8"/>
        <rFont val="Arial Narrow"/>
        <family val="2"/>
      </rPr>
      <t>2000</t>
    </r>
    <r>
      <rPr>
        <sz val="11"/>
        <color indexed="8"/>
        <rFont val="宋体"/>
        <family val="3"/>
        <charset val="134"/>
      </rPr>
      <t>元</t>
    </r>
    <r>
      <rPr>
        <sz val="11"/>
        <color indexed="8"/>
        <rFont val="Arial Narrow"/>
        <family val="2"/>
      </rPr>
      <t>/</t>
    </r>
    <r>
      <rPr>
        <sz val="11"/>
        <color indexed="8"/>
        <rFont val="宋体"/>
        <family val="3"/>
        <charset val="134"/>
      </rPr>
      <t>月；购买生活用品（床上用品、床、桶、四件套）</t>
    </r>
    <r>
      <rPr>
        <sz val="11"/>
        <color indexed="8"/>
        <rFont val="Arial Narrow"/>
        <family val="2"/>
      </rPr>
      <t>73</t>
    </r>
    <r>
      <rPr>
        <sz val="11"/>
        <color indexed="8"/>
        <rFont val="宋体"/>
        <family val="3"/>
        <charset val="134"/>
      </rPr>
      <t>人</t>
    </r>
    <r>
      <rPr>
        <sz val="11"/>
        <color indexed="8"/>
        <rFont val="Arial Narrow"/>
        <family val="2"/>
      </rPr>
      <t>*1500</t>
    </r>
    <r>
      <rPr>
        <sz val="11"/>
        <color indexed="8"/>
        <rFont val="宋体"/>
        <family val="3"/>
        <charset val="134"/>
      </rPr>
      <t>元</t>
    </r>
    <r>
      <rPr>
        <sz val="11"/>
        <color indexed="8"/>
        <rFont val="Arial Narrow"/>
        <family val="2"/>
      </rPr>
      <t>/</t>
    </r>
    <r>
      <rPr>
        <sz val="11"/>
        <color indexed="8"/>
        <rFont val="宋体"/>
        <family val="3"/>
        <charset val="134"/>
      </rPr>
      <t>人；购买电热毯</t>
    </r>
    <r>
      <rPr>
        <sz val="11"/>
        <color indexed="8"/>
        <rFont val="Arial Narrow"/>
        <family val="2"/>
      </rPr>
      <t>600</t>
    </r>
    <r>
      <rPr>
        <sz val="11"/>
        <color indexed="8"/>
        <rFont val="宋体"/>
        <family val="3"/>
        <charset val="134"/>
      </rPr>
      <t>元</t>
    </r>
    <r>
      <rPr>
        <sz val="11"/>
        <color indexed="8"/>
        <rFont val="Arial Narrow"/>
        <family val="2"/>
      </rPr>
      <t>/</t>
    </r>
    <r>
      <rPr>
        <sz val="11"/>
        <color indexed="8"/>
        <rFont val="宋体"/>
        <family val="3"/>
        <charset val="134"/>
      </rPr>
      <t>人</t>
    </r>
    <r>
      <rPr>
        <sz val="11"/>
        <color indexed="8"/>
        <rFont val="Arial Narrow"/>
        <family val="2"/>
      </rPr>
      <t>*73</t>
    </r>
    <r>
      <rPr>
        <sz val="11"/>
        <color indexed="8"/>
        <rFont val="宋体"/>
        <family val="3"/>
        <charset val="134"/>
      </rPr>
      <t>人</t>
    </r>
  </si>
  <si>
    <t>3、职工教育经费</t>
  </si>
  <si>
    <r>
      <rPr>
        <sz val="11"/>
        <color indexed="8"/>
        <rFont val="宋体"/>
        <family val="3"/>
        <charset val="134"/>
      </rPr>
      <t>二建考试每人每年</t>
    </r>
    <r>
      <rPr>
        <sz val="11"/>
        <color indexed="8"/>
        <rFont val="Arial Narrow"/>
        <family val="2"/>
      </rPr>
      <t>2000</t>
    </r>
    <r>
      <rPr>
        <sz val="11"/>
        <color indexed="8"/>
        <rFont val="宋体"/>
        <family val="3"/>
        <charset val="134"/>
      </rPr>
      <t>元</t>
    </r>
    <r>
      <rPr>
        <sz val="11"/>
        <color indexed="8"/>
        <rFont val="Arial Narrow"/>
        <family val="2"/>
      </rPr>
      <t>*4</t>
    </r>
    <r>
      <rPr>
        <sz val="11"/>
        <color indexed="8"/>
        <rFont val="宋体"/>
        <family val="3"/>
        <charset val="134"/>
      </rPr>
      <t>年次</t>
    </r>
    <r>
      <rPr>
        <sz val="11"/>
        <color indexed="8"/>
        <rFont val="Arial Narrow"/>
        <family val="2"/>
      </rPr>
      <t>*3</t>
    </r>
    <r>
      <rPr>
        <sz val="11"/>
        <color indexed="8"/>
        <rFont val="宋体"/>
        <family val="3"/>
        <charset val="134"/>
      </rPr>
      <t>人；安全员培训每年</t>
    </r>
    <r>
      <rPr>
        <sz val="11"/>
        <color indexed="8"/>
        <rFont val="Arial Narrow"/>
        <family val="2"/>
      </rPr>
      <t>2</t>
    </r>
    <r>
      <rPr>
        <sz val="11"/>
        <color indexed="8"/>
        <rFont val="宋体"/>
        <family val="3"/>
        <charset val="134"/>
      </rPr>
      <t>次，每次</t>
    </r>
    <r>
      <rPr>
        <sz val="11"/>
        <color indexed="8"/>
        <rFont val="Arial Narrow"/>
        <family val="2"/>
      </rPr>
      <t>3</t>
    </r>
    <r>
      <rPr>
        <sz val="11"/>
        <color indexed="8"/>
        <rFont val="宋体"/>
        <family val="3"/>
        <charset val="134"/>
      </rPr>
      <t>人，费用</t>
    </r>
    <r>
      <rPr>
        <sz val="11"/>
        <color indexed="8"/>
        <rFont val="Arial Narrow"/>
        <family val="2"/>
      </rPr>
      <t>1000</t>
    </r>
    <r>
      <rPr>
        <sz val="11"/>
        <color indexed="8"/>
        <rFont val="宋体"/>
        <family val="3"/>
        <charset val="134"/>
      </rPr>
      <t>元</t>
    </r>
    <r>
      <rPr>
        <sz val="11"/>
        <color indexed="8"/>
        <rFont val="Arial Narrow"/>
        <family val="2"/>
      </rPr>
      <t>/</t>
    </r>
    <r>
      <rPr>
        <sz val="11"/>
        <color indexed="8"/>
        <rFont val="宋体"/>
        <family val="3"/>
        <charset val="134"/>
      </rPr>
      <t>人</t>
    </r>
    <r>
      <rPr>
        <sz val="11"/>
        <color indexed="8"/>
        <rFont val="Arial Narrow"/>
        <family val="2"/>
      </rPr>
      <t>/</t>
    </r>
    <r>
      <rPr>
        <sz val="11"/>
        <color indexed="8"/>
        <rFont val="宋体"/>
        <family val="3"/>
        <charset val="134"/>
      </rPr>
      <t>次</t>
    </r>
  </si>
  <si>
    <t>4、保险费用</t>
  </si>
  <si>
    <r>
      <rPr>
        <sz val="11"/>
        <color indexed="8"/>
        <rFont val="宋体"/>
        <family val="3"/>
        <charset val="134"/>
      </rPr>
      <t>团体意外险，按照赔付上限</t>
    </r>
    <r>
      <rPr>
        <sz val="11"/>
        <color indexed="8"/>
        <rFont val="Arial Narrow"/>
        <family val="2"/>
      </rPr>
      <t>40</t>
    </r>
    <r>
      <rPr>
        <sz val="11"/>
        <color indexed="8"/>
        <rFont val="宋体"/>
        <family val="3"/>
        <charset val="134"/>
      </rPr>
      <t>万，限额人数</t>
    </r>
    <r>
      <rPr>
        <sz val="11"/>
        <color indexed="8"/>
        <rFont val="Arial Narrow"/>
        <family val="2"/>
      </rPr>
      <t>300</t>
    </r>
    <r>
      <rPr>
        <sz val="11"/>
        <color indexed="8"/>
        <rFont val="宋体"/>
        <family val="3"/>
        <charset val="134"/>
      </rPr>
      <t>人计算</t>
    </r>
  </si>
  <si>
    <t>5、员工社会保险费及住房公积</t>
  </si>
  <si>
    <r>
      <rPr>
        <sz val="11"/>
        <color indexed="8"/>
        <rFont val="Arial Narrow"/>
        <family val="2"/>
      </rPr>
      <t>58</t>
    </r>
    <r>
      <rPr>
        <sz val="11"/>
        <color indexed="8"/>
        <rFont val="宋体"/>
        <family val="3"/>
        <charset val="134"/>
      </rPr>
      <t>人购买社保，每人每年</t>
    </r>
    <r>
      <rPr>
        <sz val="11"/>
        <color indexed="8"/>
        <rFont val="Arial Narrow"/>
        <family val="2"/>
      </rPr>
      <t>14000</t>
    </r>
    <r>
      <rPr>
        <sz val="11"/>
        <color indexed="8"/>
        <rFont val="宋体"/>
        <family val="3"/>
        <charset val="134"/>
      </rPr>
      <t>元计算</t>
    </r>
  </si>
  <si>
    <t>6、办公费</t>
  </si>
  <si>
    <t>-办公耗材</t>
  </si>
  <si>
    <r>
      <rPr>
        <sz val="11"/>
        <color indexed="8"/>
        <rFont val="Arial Narrow"/>
        <family val="2"/>
      </rPr>
      <t>A4</t>
    </r>
    <r>
      <rPr>
        <sz val="11"/>
        <color indexed="8"/>
        <rFont val="宋体"/>
        <family val="3"/>
        <charset val="134"/>
      </rPr>
      <t>纸</t>
    </r>
    <r>
      <rPr>
        <sz val="11"/>
        <color indexed="8"/>
        <rFont val="Arial Narrow"/>
        <family val="2"/>
      </rPr>
      <t>600</t>
    </r>
    <r>
      <rPr>
        <sz val="11"/>
        <color indexed="8"/>
        <rFont val="宋体"/>
        <family val="3"/>
        <charset val="134"/>
      </rPr>
      <t>元</t>
    </r>
    <r>
      <rPr>
        <sz val="11"/>
        <color indexed="8"/>
        <rFont val="Arial Narrow"/>
        <family val="2"/>
      </rPr>
      <t>/</t>
    </r>
    <r>
      <rPr>
        <sz val="11"/>
        <color indexed="8"/>
        <rFont val="宋体"/>
        <family val="3"/>
        <charset val="134"/>
      </rPr>
      <t>月，</t>
    </r>
    <r>
      <rPr>
        <sz val="11"/>
        <color indexed="8"/>
        <rFont val="Arial Narrow"/>
        <family val="2"/>
      </rPr>
      <t>A5</t>
    </r>
    <r>
      <rPr>
        <sz val="11"/>
        <color indexed="8"/>
        <rFont val="宋体"/>
        <family val="3"/>
        <charset val="134"/>
      </rPr>
      <t>纸</t>
    </r>
    <r>
      <rPr>
        <sz val="11"/>
        <color indexed="8"/>
        <rFont val="Arial Narrow"/>
        <family val="2"/>
      </rPr>
      <t>400</t>
    </r>
    <r>
      <rPr>
        <sz val="11"/>
        <color indexed="8"/>
        <rFont val="宋体"/>
        <family val="3"/>
        <charset val="134"/>
      </rPr>
      <t>元</t>
    </r>
    <r>
      <rPr>
        <sz val="11"/>
        <color indexed="8"/>
        <rFont val="Arial Narrow"/>
        <family val="2"/>
      </rPr>
      <t>/</t>
    </r>
    <r>
      <rPr>
        <sz val="11"/>
        <color indexed="8"/>
        <rFont val="宋体"/>
        <family val="3"/>
        <charset val="134"/>
      </rPr>
      <t>月，</t>
    </r>
    <r>
      <rPr>
        <sz val="11"/>
        <color indexed="8"/>
        <rFont val="Arial Narrow"/>
        <family val="2"/>
      </rPr>
      <t>B5</t>
    </r>
    <r>
      <rPr>
        <sz val="11"/>
        <color indexed="8"/>
        <rFont val="宋体"/>
        <family val="3"/>
        <charset val="134"/>
      </rPr>
      <t>纸</t>
    </r>
    <r>
      <rPr>
        <sz val="11"/>
        <color indexed="8"/>
        <rFont val="Arial Narrow"/>
        <family val="2"/>
      </rPr>
      <t>400</t>
    </r>
    <r>
      <rPr>
        <sz val="11"/>
        <color indexed="8"/>
        <rFont val="宋体"/>
        <family val="3"/>
        <charset val="134"/>
      </rPr>
      <t>元</t>
    </r>
    <r>
      <rPr>
        <sz val="11"/>
        <color indexed="8"/>
        <rFont val="Arial Narrow"/>
        <family val="2"/>
      </rPr>
      <t>/</t>
    </r>
    <r>
      <rPr>
        <sz val="11"/>
        <color indexed="8"/>
        <rFont val="宋体"/>
        <family val="3"/>
        <charset val="134"/>
      </rPr>
      <t>月，彩色打印及红头文件</t>
    </r>
    <r>
      <rPr>
        <sz val="11"/>
        <color indexed="8"/>
        <rFont val="Arial Narrow"/>
        <family val="2"/>
      </rPr>
      <t>600</t>
    </r>
    <r>
      <rPr>
        <sz val="11"/>
        <color indexed="8"/>
        <rFont val="宋体"/>
        <family val="3"/>
        <charset val="134"/>
      </rPr>
      <t>元</t>
    </r>
    <r>
      <rPr>
        <sz val="11"/>
        <color indexed="8"/>
        <rFont val="Arial Narrow"/>
        <family val="2"/>
      </rPr>
      <t>/</t>
    </r>
    <r>
      <rPr>
        <sz val="11"/>
        <color indexed="8"/>
        <rFont val="宋体"/>
        <family val="3"/>
        <charset val="134"/>
      </rPr>
      <t>月，半年刊、年刊</t>
    </r>
    <r>
      <rPr>
        <sz val="11"/>
        <color indexed="8"/>
        <rFont val="Arial Narrow"/>
        <family val="2"/>
      </rPr>
      <t>1500</t>
    </r>
    <r>
      <rPr>
        <sz val="11"/>
        <color indexed="8"/>
        <rFont val="宋体"/>
        <family val="3"/>
        <charset val="134"/>
      </rPr>
      <t>元，书报费用</t>
    </r>
    <r>
      <rPr>
        <sz val="11"/>
        <color indexed="8"/>
        <rFont val="Arial Narrow"/>
        <family val="2"/>
      </rPr>
      <t>100</t>
    </r>
    <r>
      <rPr>
        <sz val="11"/>
        <color indexed="8"/>
        <rFont val="宋体"/>
        <family val="3"/>
        <charset val="134"/>
      </rPr>
      <t>元</t>
    </r>
    <r>
      <rPr>
        <sz val="11"/>
        <color indexed="8"/>
        <rFont val="Arial Narrow"/>
        <family val="2"/>
      </rPr>
      <t>/</t>
    </r>
    <r>
      <rPr>
        <sz val="11"/>
        <color indexed="8"/>
        <rFont val="宋体"/>
        <family val="3"/>
        <charset val="134"/>
      </rPr>
      <t>月，墨粉</t>
    </r>
    <r>
      <rPr>
        <sz val="11"/>
        <color indexed="8"/>
        <rFont val="Arial Narrow"/>
        <family val="2"/>
      </rPr>
      <t>600</t>
    </r>
    <r>
      <rPr>
        <sz val="11"/>
        <color indexed="8"/>
        <rFont val="宋体"/>
        <family val="3"/>
        <charset val="134"/>
      </rPr>
      <t>元</t>
    </r>
    <r>
      <rPr>
        <sz val="11"/>
        <color indexed="8"/>
        <rFont val="Arial Narrow"/>
        <family val="2"/>
      </rPr>
      <t>/</t>
    </r>
    <r>
      <rPr>
        <sz val="11"/>
        <color indexed="8"/>
        <rFont val="宋体"/>
        <family val="3"/>
        <charset val="134"/>
      </rPr>
      <t>月，墨盒</t>
    </r>
    <r>
      <rPr>
        <sz val="11"/>
        <color indexed="8"/>
        <rFont val="Arial Narrow"/>
        <family val="2"/>
      </rPr>
      <t>200</t>
    </r>
    <r>
      <rPr>
        <sz val="11"/>
        <color indexed="8"/>
        <rFont val="宋体"/>
        <family val="3"/>
        <charset val="134"/>
      </rPr>
      <t>元</t>
    </r>
    <r>
      <rPr>
        <sz val="11"/>
        <color indexed="8"/>
        <rFont val="Arial Narrow"/>
        <family val="2"/>
      </rPr>
      <t>/</t>
    </r>
    <r>
      <rPr>
        <sz val="11"/>
        <color indexed="8"/>
        <rFont val="宋体"/>
        <family val="3"/>
        <charset val="134"/>
      </rPr>
      <t>月，合同装订</t>
    </r>
    <r>
      <rPr>
        <sz val="11"/>
        <color indexed="8"/>
        <rFont val="Arial Narrow"/>
        <family val="2"/>
      </rPr>
      <t>350</t>
    </r>
    <r>
      <rPr>
        <sz val="11"/>
        <color indexed="8"/>
        <rFont val="宋体"/>
        <family val="3"/>
        <charset val="134"/>
      </rPr>
      <t>元</t>
    </r>
    <r>
      <rPr>
        <sz val="11"/>
        <color indexed="8"/>
        <rFont val="Arial Narrow"/>
        <family val="2"/>
      </rPr>
      <t>/</t>
    </r>
    <r>
      <rPr>
        <sz val="11"/>
        <color indexed="8"/>
        <rFont val="宋体"/>
        <family val="3"/>
        <charset val="134"/>
      </rPr>
      <t>月，打印机维修费</t>
    </r>
    <r>
      <rPr>
        <sz val="11"/>
        <color indexed="8"/>
        <rFont val="Arial Narrow"/>
        <family val="2"/>
      </rPr>
      <t>300</t>
    </r>
    <r>
      <rPr>
        <sz val="11"/>
        <color indexed="8"/>
        <rFont val="宋体"/>
        <family val="3"/>
        <charset val="134"/>
      </rPr>
      <t>元</t>
    </r>
    <r>
      <rPr>
        <sz val="11"/>
        <color indexed="8"/>
        <rFont val="Arial Narrow"/>
        <family val="2"/>
      </rPr>
      <t>/</t>
    </r>
    <r>
      <rPr>
        <sz val="11"/>
        <color indexed="8"/>
        <rFont val="宋体"/>
        <family val="3"/>
        <charset val="134"/>
      </rPr>
      <t>月；购办公用低值易耗品（打印机、办公桌、办公椅等）</t>
    </r>
    <r>
      <rPr>
        <sz val="11"/>
        <color indexed="8"/>
        <rFont val="Arial Narrow"/>
        <family val="2"/>
      </rPr>
      <t>50000</t>
    </r>
    <r>
      <rPr>
        <sz val="11"/>
        <color indexed="8"/>
        <rFont val="宋体"/>
        <family val="3"/>
        <charset val="134"/>
      </rPr>
      <t>元</t>
    </r>
  </si>
  <si>
    <t>-固话、网络费用</t>
  </si>
  <si>
    <r>
      <rPr>
        <sz val="11"/>
        <color indexed="8"/>
        <rFont val="宋体"/>
        <family val="3"/>
        <charset val="134"/>
      </rPr>
      <t>项目初期拉网线一次性费用</t>
    </r>
    <r>
      <rPr>
        <sz val="11"/>
        <color indexed="8"/>
        <rFont val="Arial Narrow"/>
        <family val="2"/>
      </rPr>
      <t>50000</t>
    </r>
    <r>
      <rPr>
        <sz val="11"/>
        <color indexed="8"/>
        <rFont val="宋体"/>
        <family val="3"/>
        <charset val="134"/>
      </rPr>
      <t>元</t>
    </r>
    <r>
      <rPr>
        <sz val="11"/>
        <color indexed="8"/>
        <rFont val="Arial Narrow"/>
        <family val="2"/>
      </rPr>
      <t>*2</t>
    </r>
    <r>
      <rPr>
        <sz val="11"/>
        <color indexed="8"/>
        <rFont val="宋体"/>
        <family val="3"/>
        <charset val="134"/>
      </rPr>
      <t>个驻地，后期每月</t>
    </r>
    <r>
      <rPr>
        <sz val="11"/>
        <color indexed="8"/>
        <rFont val="Arial Narrow"/>
        <family val="2"/>
      </rPr>
      <t>3000</t>
    </r>
    <r>
      <rPr>
        <sz val="11"/>
        <color indexed="8"/>
        <rFont val="宋体"/>
        <family val="3"/>
        <charset val="134"/>
      </rPr>
      <t>元</t>
    </r>
    <r>
      <rPr>
        <sz val="11"/>
        <color indexed="8"/>
        <rFont val="Arial Narrow"/>
        <family val="2"/>
      </rPr>
      <t>*12</t>
    </r>
    <r>
      <rPr>
        <sz val="11"/>
        <color indexed="8"/>
        <rFont val="宋体"/>
        <family val="3"/>
        <charset val="134"/>
      </rPr>
      <t>个月</t>
    </r>
    <r>
      <rPr>
        <sz val="11"/>
        <color indexed="8"/>
        <rFont val="Arial Narrow"/>
        <family val="2"/>
      </rPr>
      <t>*4</t>
    </r>
    <r>
      <rPr>
        <sz val="11"/>
        <color indexed="8"/>
        <rFont val="宋体"/>
        <family val="3"/>
        <charset val="134"/>
      </rPr>
      <t>年</t>
    </r>
    <r>
      <rPr>
        <sz val="11"/>
        <color indexed="8"/>
        <rFont val="Arial Narrow"/>
        <family val="2"/>
      </rPr>
      <t>*2</t>
    </r>
    <r>
      <rPr>
        <sz val="11"/>
        <color indexed="8"/>
        <rFont val="宋体"/>
        <family val="3"/>
        <charset val="134"/>
      </rPr>
      <t>个驻地</t>
    </r>
  </si>
  <si>
    <r>
      <rPr>
        <sz val="11"/>
        <color indexed="8"/>
        <rFont val="宋体"/>
        <family val="3"/>
        <charset val="134"/>
      </rPr>
      <t>桶装水</t>
    </r>
    <r>
      <rPr>
        <sz val="11"/>
        <color indexed="8"/>
        <rFont val="Arial Narrow"/>
        <family val="2"/>
      </rPr>
      <t>40</t>
    </r>
    <r>
      <rPr>
        <sz val="11"/>
        <color indexed="8"/>
        <rFont val="宋体"/>
        <family val="3"/>
        <charset val="134"/>
      </rPr>
      <t>桶</t>
    </r>
    <r>
      <rPr>
        <sz val="11"/>
        <color indexed="8"/>
        <rFont val="Arial Narrow"/>
        <family val="2"/>
      </rPr>
      <t>*12</t>
    </r>
    <r>
      <rPr>
        <sz val="11"/>
        <color indexed="8"/>
        <rFont val="宋体"/>
        <family val="3"/>
        <charset val="134"/>
      </rPr>
      <t>元</t>
    </r>
    <r>
      <rPr>
        <sz val="11"/>
        <color indexed="8"/>
        <rFont val="Arial Narrow"/>
        <family val="2"/>
      </rPr>
      <t>/</t>
    </r>
    <r>
      <rPr>
        <sz val="11"/>
        <color indexed="8"/>
        <rFont val="宋体"/>
        <family val="3"/>
        <charset val="134"/>
      </rPr>
      <t>桶</t>
    </r>
    <r>
      <rPr>
        <sz val="11"/>
        <color indexed="8"/>
        <rFont val="Arial Narrow"/>
        <family val="2"/>
      </rPr>
      <t>/</t>
    </r>
    <r>
      <rPr>
        <sz val="11"/>
        <color indexed="8"/>
        <rFont val="宋体"/>
        <family val="3"/>
        <charset val="134"/>
      </rPr>
      <t>月，工地矿泉水</t>
    </r>
    <r>
      <rPr>
        <sz val="11"/>
        <color indexed="8"/>
        <rFont val="Arial Narrow"/>
        <family val="2"/>
      </rPr>
      <t>10</t>
    </r>
    <r>
      <rPr>
        <sz val="11"/>
        <color indexed="8"/>
        <rFont val="宋体"/>
        <family val="3"/>
        <charset val="134"/>
      </rPr>
      <t>件</t>
    </r>
    <r>
      <rPr>
        <sz val="11"/>
        <color indexed="8"/>
        <rFont val="Arial Narrow"/>
        <family val="2"/>
      </rPr>
      <t>*20</t>
    </r>
    <r>
      <rPr>
        <sz val="11"/>
        <color indexed="8"/>
        <rFont val="宋体"/>
        <family val="3"/>
        <charset val="134"/>
      </rPr>
      <t>元</t>
    </r>
    <r>
      <rPr>
        <sz val="11"/>
        <color indexed="8"/>
        <rFont val="Arial Narrow"/>
        <family val="2"/>
      </rPr>
      <t>/</t>
    </r>
    <r>
      <rPr>
        <sz val="11"/>
        <color indexed="8"/>
        <rFont val="宋体"/>
        <family val="3"/>
        <charset val="134"/>
      </rPr>
      <t>月</t>
    </r>
  </si>
  <si>
    <t>7、车辆费用</t>
  </si>
  <si>
    <t>-保险费</t>
  </si>
  <si>
    <r>
      <rPr>
        <sz val="11"/>
        <color indexed="8"/>
        <rFont val="宋体"/>
        <family val="3"/>
        <charset val="134"/>
      </rPr>
      <t>项目部自有车辆</t>
    </r>
    <r>
      <rPr>
        <sz val="11"/>
        <color indexed="8"/>
        <rFont val="Arial Narrow"/>
        <family val="2"/>
      </rPr>
      <t>1</t>
    </r>
    <r>
      <rPr>
        <sz val="11"/>
        <color indexed="8"/>
        <rFont val="宋体"/>
        <family val="3"/>
        <charset val="134"/>
      </rPr>
      <t>台</t>
    </r>
    <r>
      <rPr>
        <sz val="11"/>
        <color indexed="8"/>
        <rFont val="Arial Narrow"/>
        <family val="2"/>
      </rPr>
      <t>*4000</t>
    </r>
    <r>
      <rPr>
        <sz val="11"/>
        <color indexed="8"/>
        <rFont val="宋体"/>
        <family val="3"/>
        <charset val="134"/>
      </rPr>
      <t>元</t>
    </r>
    <r>
      <rPr>
        <sz val="11"/>
        <color indexed="8"/>
        <rFont val="Arial Narrow"/>
        <family val="2"/>
      </rPr>
      <t>/</t>
    </r>
    <r>
      <rPr>
        <sz val="11"/>
        <color indexed="8"/>
        <rFont val="宋体"/>
        <family val="3"/>
        <charset val="134"/>
      </rPr>
      <t>年*4年</t>
    </r>
  </si>
  <si>
    <t>-保养、维修费用</t>
  </si>
  <si>
    <r>
      <rPr>
        <sz val="11"/>
        <color indexed="8"/>
        <rFont val="宋体"/>
        <family val="3"/>
        <charset val="134"/>
      </rPr>
      <t>项目部自有车辆</t>
    </r>
    <r>
      <rPr>
        <sz val="11"/>
        <color indexed="8"/>
        <rFont val="Arial Narrow"/>
        <family val="2"/>
      </rPr>
      <t>1</t>
    </r>
    <r>
      <rPr>
        <sz val="11"/>
        <color indexed="8"/>
        <rFont val="宋体"/>
        <family val="3"/>
        <charset val="134"/>
      </rPr>
      <t>台</t>
    </r>
    <r>
      <rPr>
        <sz val="11"/>
        <color indexed="8"/>
        <rFont val="Arial Narrow"/>
        <family val="2"/>
      </rPr>
      <t>*30000</t>
    </r>
    <r>
      <rPr>
        <sz val="11"/>
        <color indexed="8"/>
        <rFont val="宋体"/>
        <family val="3"/>
        <charset val="134"/>
      </rPr>
      <t>元</t>
    </r>
    <r>
      <rPr>
        <sz val="11"/>
        <color indexed="8"/>
        <rFont val="Arial Narrow"/>
        <family val="2"/>
      </rPr>
      <t>/</t>
    </r>
    <r>
      <rPr>
        <sz val="11"/>
        <color indexed="8"/>
        <rFont val="宋体"/>
        <family val="3"/>
        <charset val="134"/>
      </rPr>
      <t>年</t>
    </r>
    <r>
      <rPr>
        <sz val="11"/>
        <color indexed="8"/>
        <rFont val="Arial Narrow"/>
        <family val="2"/>
      </rPr>
      <t>*4</t>
    </r>
    <r>
      <rPr>
        <sz val="11"/>
        <color indexed="8"/>
        <rFont val="宋体"/>
        <family val="3"/>
        <charset val="134"/>
      </rPr>
      <t>年</t>
    </r>
  </si>
  <si>
    <t>-油料费</t>
  </si>
  <si>
    <r>
      <rPr>
        <sz val="11"/>
        <color indexed="8"/>
        <rFont val="Arial Narrow"/>
        <family val="2"/>
      </rPr>
      <t>6</t>
    </r>
    <r>
      <rPr>
        <sz val="11"/>
        <color indexed="8"/>
        <rFont val="宋体"/>
        <family val="3"/>
        <charset val="134"/>
      </rPr>
      <t>辆车，按照每辆车</t>
    </r>
    <r>
      <rPr>
        <sz val="11"/>
        <color indexed="8"/>
        <rFont val="Arial Narrow"/>
        <family val="2"/>
      </rPr>
      <t>4000/km/</t>
    </r>
    <r>
      <rPr>
        <sz val="11"/>
        <color indexed="8"/>
        <rFont val="宋体"/>
        <family val="3"/>
        <charset val="134"/>
      </rPr>
      <t>月，平均油耗</t>
    </r>
    <r>
      <rPr>
        <sz val="11"/>
        <color indexed="8"/>
        <rFont val="Arial Narrow"/>
        <family val="2"/>
      </rPr>
      <t>13L/</t>
    </r>
    <r>
      <rPr>
        <sz val="11"/>
        <color indexed="8"/>
        <rFont val="宋体"/>
        <family val="3"/>
        <charset val="134"/>
      </rPr>
      <t>百公里，</t>
    </r>
    <r>
      <rPr>
        <sz val="11"/>
        <color indexed="8"/>
        <rFont val="Arial Narrow"/>
        <family val="2"/>
      </rPr>
      <t>4000km*13L/100km*6</t>
    </r>
    <r>
      <rPr>
        <sz val="11"/>
        <color indexed="8"/>
        <rFont val="宋体"/>
        <family val="3"/>
        <charset val="134"/>
      </rPr>
      <t>辆</t>
    </r>
    <r>
      <rPr>
        <sz val="11"/>
        <color indexed="8"/>
        <rFont val="Arial Narrow"/>
        <family val="2"/>
      </rPr>
      <t>*7</t>
    </r>
    <r>
      <rPr>
        <sz val="11"/>
        <color indexed="8"/>
        <rFont val="宋体"/>
        <family val="3"/>
        <charset val="134"/>
      </rPr>
      <t>元</t>
    </r>
    <r>
      <rPr>
        <sz val="11"/>
        <color indexed="8"/>
        <rFont val="Arial Narrow"/>
        <family val="2"/>
      </rPr>
      <t>/L</t>
    </r>
  </si>
  <si>
    <t>-停车、过路、洗车费</t>
  </si>
  <si>
    <r>
      <rPr>
        <sz val="11"/>
        <color indexed="8"/>
        <rFont val="宋体"/>
        <family val="3"/>
        <charset val="134"/>
      </rPr>
      <t>按照每月车辆</t>
    </r>
    <r>
      <rPr>
        <sz val="11"/>
        <color indexed="8"/>
        <rFont val="Arial Narrow"/>
        <family val="2"/>
      </rPr>
      <t>600</t>
    </r>
    <r>
      <rPr>
        <sz val="11"/>
        <color indexed="8"/>
        <rFont val="宋体"/>
        <family val="3"/>
        <charset val="134"/>
      </rPr>
      <t>元计算路桥费用，洗车费</t>
    </r>
    <r>
      <rPr>
        <sz val="11"/>
        <color indexed="8"/>
        <rFont val="Arial Narrow"/>
        <family val="2"/>
      </rPr>
      <t>200</t>
    </r>
    <r>
      <rPr>
        <sz val="11"/>
        <color indexed="8"/>
        <rFont val="宋体"/>
        <family val="3"/>
        <charset val="134"/>
      </rPr>
      <t>元</t>
    </r>
    <r>
      <rPr>
        <sz val="11"/>
        <color indexed="8"/>
        <rFont val="Arial Narrow"/>
        <family val="2"/>
      </rPr>
      <t>/月/辆，停车费50元/月/辆</t>
    </r>
  </si>
  <si>
    <t>-租车费</t>
  </si>
  <si>
    <r>
      <rPr>
        <sz val="11"/>
        <color indexed="8"/>
        <rFont val="宋体"/>
        <family val="3"/>
        <charset val="134"/>
      </rPr>
      <t>外租车</t>
    </r>
    <r>
      <rPr>
        <sz val="11"/>
        <color indexed="8"/>
        <rFont val="Arial Narrow"/>
        <family val="2"/>
      </rPr>
      <t>5</t>
    </r>
    <r>
      <rPr>
        <sz val="11"/>
        <color indexed="8"/>
        <rFont val="宋体"/>
        <family val="3"/>
        <charset val="134"/>
      </rPr>
      <t>辆，每辆每月</t>
    </r>
    <r>
      <rPr>
        <sz val="11"/>
        <color indexed="8"/>
        <rFont val="Arial Narrow"/>
        <family val="2"/>
      </rPr>
      <t>8500</t>
    </r>
    <r>
      <rPr>
        <sz val="11"/>
        <color indexed="8"/>
        <rFont val="宋体"/>
        <family val="3"/>
        <charset val="134"/>
      </rPr>
      <t>元，每季度预测超行补助</t>
    </r>
    <r>
      <rPr>
        <sz val="11"/>
        <color indexed="8"/>
        <rFont val="Arial Narrow"/>
        <family val="2"/>
      </rPr>
      <t>500</t>
    </r>
    <r>
      <rPr>
        <sz val="11"/>
        <color indexed="8"/>
        <rFont val="宋体"/>
        <family val="3"/>
        <charset val="134"/>
      </rPr>
      <t>元</t>
    </r>
    <r>
      <rPr>
        <sz val="11"/>
        <color indexed="8"/>
        <rFont val="Arial Narrow"/>
        <family val="2"/>
      </rPr>
      <t>/</t>
    </r>
    <r>
      <rPr>
        <sz val="11"/>
        <color indexed="8"/>
        <rFont val="宋体"/>
        <family val="3"/>
        <charset val="134"/>
      </rPr>
      <t>辆</t>
    </r>
  </si>
  <si>
    <r>
      <rPr>
        <sz val="11"/>
        <color indexed="8"/>
        <rFont val="宋体"/>
        <family val="3"/>
        <charset val="134"/>
      </rPr>
      <t>临时租用车辆</t>
    </r>
    <r>
      <rPr>
        <sz val="11"/>
        <color indexed="8"/>
        <rFont val="Arial Narrow"/>
        <family val="2"/>
      </rPr>
      <t>1000</t>
    </r>
    <r>
      <rPr>
        <sz val="11"/>
        <color indexed="8"/>
        <rFont val="宋体"/>
        <family val="3"/>
        <charset val="134"/>
      </rPr>
      <t>元</t>
    </r>
    <r>
      <rPr>
        <sz val="11"/>
        <color indexed="8"/>
        <rFont val="Arial Narrow"/>
        <family val="2"/>
      </rPr>
      <t>/</t>
    </r>
    <r>
      <rPr>
        <sz val="11"/>
        <color indexed="8"/>
        <rFont val="宋体"/>
        <family val="3"/>
        <charset val="134"/>
      </rPr>
      <t>季度</t>
    </r>
  </si>
  <si>
    <t>8、差旅交通费</t>
  </si>
  <si>
    <t>项目负责人南宁开会；安全员安全培训；信息化兰州培训；异地签计量差旅费</t>
  </si>
  <si>
    <t>9、固定资产使用费</t>
  </si>
  <si>
    <t>-折旧费</t>
  </si>
  <si>
    <t>购进固定资产电脑45台*4000元/台，宿舍空调30台*2000元/台，办公室空调13台*2000元/台，2匹以上空调5台*7000元/台；打印机10台*3000元/台；厨房用品固定资产若干；</t>
  </si>
  <si>
    <t>-固定资产修理费</t>
  </si>
  <si>
    <r>
      <rPr>
        <sz val="11"/>
        <color indexed="8"/>
        <rFont val="宋体"/>
        <family val="3"/>
        <charset val="134"/>
      </rPr>
      <t>空调</t>
    </r>
    <r>
      <rPr>
        <sz val="11"/>
        <color indexed="8"/>
        <rFont val="Arial Narrow"/>
        <family val="2"/>
      </rPr>
      <t>48</t>
    </r>
    <r>
      <rPr>
        <sz val="11"/>
        <color indexed="8"/>
        <rFont val="宋体"/>
        <family val="3"/>
        <charset val="134"/>
      </rPr>
      <t>台，电脑</t>
    </r>
    <r>
      <rPr>
        <sz val="11"/>
        <color indexed="8"/>
        <rFont val="Arial Narrow"/>
        <family val="2"/>
      </rPr>
      <t>45</t>
    </r>
    <r>
      <rPr>
        <sz val="11"/>
        <color indexed="8"/>
        <rFont val="宋体"/>
        <family val="3"/>
        <charset val="134"/>
      </rPr>
      <t>台，按照平均每月</t>
    </r>
    <r>
      <rPr>
        <sz val="11"/>
        <color indexed="8"/>
        <rFont val="Arial Narrow"/>
        <family val="2"/>
      </rPr>
      <t>50</t>
    </r>
    <r>
      <rPr>
        <sz val="11"/>
        <color indexed="8"/>
        <rFont val="宋体"/>
        <family val="3"/>
        <charset val="134"/>
      </rPr>
      <t>元</t>
    </r>
    <r>
      <rPr>
        <sz val="11"/>
        <color indexed="8"/>
        <rFont val="Arial Narrow"/>
        <family val="2"/>
      </rPr>
      <t>/</t>
    </r>
    <r>
      <rPr>
        <sz val="11"/>
        <color indexed="8"/>
        <rFont val="宋体"/>
        <family val="3"/>
        <charset val="134"/>
      </rPr>
      <t>台维修费用</t>
    </r>
  </si>
  <si>
    <r>
      <rPr>
        <sz val="11"/>
        <color indexed="8"/>
        <rFont val="宋体"/>
        <family val="3"/>
        <charset val="134"/>
      </rPr>
      <t>其他临时性增加的资产费用</t>
    </r>
    <r>
      <rPr>
        <sz val="11"/>
        <color indexed="8"/>
        <rFont val="Arial Narrow"/>
        <family val="2"/>
      </rPr>
      <t>20000</t>
    </r>
    <r>
      <rPr>
        <sz val="11"/>
        <color indexed="8"/>
        <rFont val="宋体"/>
        <family val="3"/>
        <charset val="134"/>
      </rPr>
      <t>元</t>
    </r>
    <r>
      <rPr>
        <sz val="11"/>
        <color indexed="8"/>
        <rFont val="Arial Narrow"/>
        <family val="2"/>
      </rPr>
      <t>/</t>
    </r>
    <r>
      <rPr>
        <sz val="11"/>
        <color indexed="8"/>
        <rFont val="宋体"/>
        <family val="3"/>
        <charset val="134"/>
      </rPr>
      <t>年</t>
    </r>
  </si>
  <si>
    <r>
      <rPr>
        <sz val="12"/>
        <color indexed="8"/>
        <rFont val="宋体"/>
        <family val="3"/>
        <charset val="134"/>
      </rPr>
      <t>1</t>
    </r>
    <r>
      <rPr>
        <sz val="12"/>
        <color indexed="8"/>
        <rFont val="宋体"/>
        <family val="3"/>
        <charset val="134"/>
      </rPr>
      <t>0、低值易耗品摊销费用</t>
    </r>
  </si>
  <si>
    <r>
      <rPr>
        <sz val="11"/>
        <color indexed="8"/>
        <rFont val="宋体"/>
        <family val="3"/>
        <charset val="134"/>
      </rPr>
      <t>厨房工具、桌椅更换等其他工具用具费用</t>
    </r>
    <r>
      <rPr>
        <sz val="11"/>
        <color indexed="8"/>
        <rFont val="Arial Narrow"/>
        <family val="2"/>
      </rPr>
      <t>30000</t>
    </r>
    <r>
      <rPr>
        <sz val="11"/>
        <color indexed="8"/>
        <rFont val="宋体"/>
        <family val="3"/>
        <charset val="134"/>
      </rPr>
      <t>元</t>
    </r>
    <r>
      <rPr>
        <sz val="11"/>
        <color indexed="8"/>
        <rFont val="Arial Narrow"/>
        <family val="2"/>
      </rPr>
      <t>/</t>
    </r>
    <r>
      <rPr>
        <sz val="11"/>
        <color indexed="8"/>
        <rFont val="宋体"/>
        <family val="3"/>
        <charset val="134"/>
      </rPr>
      <t>年。</t>
    </r>
  </si>
  <si>
    <r>
      <rPr>
        <sz val="12"/>
        <color indexed="8"/>
        <rFont val="宋体"/>
        <family val="3"/>
        <charset val="134"/>
      </rPr>
      <t>1</t>
    </r>
    <r>
      <rPr>
        <sz val="12"/>
        <color indexed="8"/>
        <rFont val="宋体"/>
        <family val="3"/>
        <charset val="134"/>
      </rPr>
      <t>2、劳动保护费</t>
    </r>
  </si>
  <si>
    <r>
      <rPr>
        <sz val="11"/>
        <color indexed="8"/>
        <rFont val="宋体"/>
        <family val="3"/>
        <charset val="134"/>
      </rPr>
      <t>每月购买口罩、水鞋、雨伞、反光衣等劳动保护用品</t>
    </r>
    <r>
      <rPr>
        <sz val="11"/>
        <color indexed="8"/>
        <rFont val="Arial Narrow"/>
        <family val="2"/>
      </rPr>
      <t>2000</t>
    </r>
    <r>
      <rPr>
        <sz val="11"/>
        <color indexed="8"/>
        <rFont val="宋体"/>
        <family val="3"/>
        <charset val="134"/>
      </rPr>
      <t>元</t>
    </r>
    <r>
      <rPr>
        <sz val="11"/>
        <color indexed="8"/>
        <rFont val="Arial Narrow"/>
        <family val="2"/>
      </rPr>
      <t>/</t>
    </r>
    <r>
      <rPr>
        <sz val="11"/>
        <color indexed="8"/>
        <rFont val="宋体"/>
        <family val="3"/>
        <charset val="134"/>
      </rPr>
      <t>月；夏季发放防暑保护用品</t>
    </r>
    <r>
      <rPr>
        <sz val="11"/>
        <color indexed="8"/>
        <rFont val="Arial Narrow"/>
        <family val="2"/>
      </rPr>
      <t>5000</t>
    </r>
    <r>
      <rPr>
        <sz val="11"/>
        <color indexed="8"/>
        <rFont val="宋体"/>
        <family val="3"/>
        <charset val="134"/>
      </rPr>
      <t>元</t>
    </r>
    <r>
      <rPr>
        <sz val="11"/>
        <color indexed="8"/>
        <rFont val="Arial Narrow"/>
        <family val="2"/>
      </rPr>
      <t>/</t>
    </r>
    <r>
      <rPr>
        <sz val="11"/>
        <color indexed="8"/>
        <rFont val="宋体"/>
        <family val="3"/>
        <charset val="134"/>
      </rPr>
      <t>年</t>
    </r>
  </si>
  <si>
    <t>14、办公水电暧费用</t>
  </si>
  <si>
    <t>平均按照10000元/月进行测算，垃圾处理费500元/月</t>
  </si>
  <si>
    <t>15、业务招待费</t>
  </si>
  <si>
    <r>
      <rPr>
        <sz val="11"/>
        <color indexed="8"/>
        <rFont val="宋体"/>
        <family val="3"/>
        <charset val="134"/>
      </rPr>
      <t>按照合同总价的</t>
    </r>
    <r>
      <rPr>
        <sz val="11"/>
        <color indexed="8"/>
        <rFont val="Arial Narrow"/>
        <family val="2"/>
      </rPr>
      <t>0.5%</t>
    </r>
    <r>
      <rPr>
        <sz val="11"/>
        <color indexed="8"/>
        <rFont val="宋体"/>
        <family val="3"/>
        <charset val="134"/>
      </rPr>
      <t>计算</t>
    </r>
  </si>
  <si>
    <t>17、无形资产摊销</t>
  </si>
  <si>
    <t>购买计量360000元，财务软件10000元；实验联网软件50000元</t>
  </si>
  <si>
    <t>19、房屋租赁费</t>
  </si>
  <si>
    <r>
      <rPr>
        <sz val="11"/>
        <color indexed="8"/>
        <rFont val="宋体"/>
        <family val="3"/>
        <charset val="134"/>
      </rPr>
      <t>项目驻地房租费</t>
    </r>
    <r>
      <rPr>
        <sz val="11"/>
        <color indexed="8"/>
        <rFont val="Arial Narrow"/>
        <family val="2"/>
      </rPr>
      <t>300000</t>
    </r>
    <r>
      <rPr>
        <sz val="11"/>
        <color indexed="8"/>
        <rFont val="宋体"/>
        <family val="3"/>
        <charset val="134"/>
      </rPr>
      <t>元</t>
    </r>
    <r>
      <rPr>
        <sz val="11"/>
        <color indexed="8"/>
        <rFont val="Arial Narrow"/>
        <family val="2"/>
      </rPr>
      <t>/</t>
    </r>
    <r>
      <rPr>
        <sz val="11"/>
        <color indexed="8"/>
        <rFont val="宋体"/>
        <family val="3"/>
        <charset val="134"/>
      </rPr>
      <t>年；驻地装修费用</t>
    </r>
    <r>
      <rPr>
        <sz val="11"/>
        <color indexed="8"/>
        <rFont val="Arial Narrow"/>
        <family val="2"/>
      </rPr>
      <t>300000</t>
    </r>
    <r>
      <rPr>
        <sz val="11"/>
        <color indexed="8"/>
        <rFont val="宋体"/>
        <family val="3"/>
        <charset val="134"/>
      </rPr>
      <t>元
已计入临时设施</t>
    </r>
  </si>
  <si>
    <t>20、广告宣传费</t>
  </si>
  <si>
    <r>
      <rPr>
        <sz val="11"/>
        <color indexed="8"/>
        <rFont val="宋体"/>
        <family val="3"/>
        <charset val="134"/>
      </rPr>
      <t>宣传册、半年刊、年刊等费用</t>
    </r>
    <r>
      <rPr>
        <sz val="11"/>
        <color indexed="8"/>
        <rFont val="Arial Narrow"/>
        <family val="2"/>
      </rPr>
      <t>1000</t>
    </r>
    <r>
      <rPr>
        <sz val="11"/>
        <color indexed="8"/>
        <rFont val="宋体"/>
        <family val="3"/>
        <charset val="134"/>
      </rPr>
      <t>元</t>
    </r>
    <r>
      <rPr>
        <sz val="11"/>
        <color indexed="8"/>
        <rFont val="Arial Narrow"/>
        <family val="2"/>
      </rPr>
      <t>/</t>
    </r>
    <r>
      <rPr>
        <sz val="11"/>
        <color indexed="8"/>
        <rFont val="宋体"/>
        <family val="3"/>
        <charset val="134"/>
      </rPr>
      <t>月，办公驻地外的标志费用</t>
    </r>
    <r>
      <rPr>
        <sz val="11"/>
        <color indexed="8"/>
        <rFont val="Arial Narrow"/>
        <family val="2"/>
      </rPr>
      <t>2000</t>
    </r>
    <r>
      <rPr>
        <sz val="11"/>
        <color indexed="8"/>
        <rFont val="宋体"/>
        <family val="3"/>
        <charset val="134"/>
      </rPr>
      <t>元</t>
    </r>
    <r>
      <rPr>
        <sz val="11"/>
        <color indexed="8"/>
        <rFont val="Arial Narrow"/>
        <family val="2"/>
      </rPr>
      <t>/</t>
    </r>
    <r>
      <rPr>
        <sz val="11"/>
        <color indexed="8"/>
        <rFont val="宋体"/>
        <family val="3"/>
        <charset val="134"/>
      </rPr>
      <t>月</t>
    </r>
  </si>
  <si>
    <r>
      <rPr>
        <sz val="12"/>
        <color indexed="8"/>
        <rFont val="宋体"/>
        <family val="3"/>
        <charset val="134"/>
      </rPr>
      <t>2</t>
    </r>
    <r>
      <rPr>
        <sz val="12"/>
        <color indexed="8"/>
        <rFont val="宋体"/>
        <family val="3"/>
        <charset val="134"/>
      </rPr>
      <t>1、办公、生活用临时设施摊销</t>
    </r>
  </si>
  <si>
    <t>工地临建费用，施工人员工地住宿场地，共四个，按照600000元/处计算</t>
  </si>
  <si>
    <r>
      <rPr>
        <sz val="12"/>
        <color indexed="8"/>
        <rFont val="宋体"/>
        <family val="3"/>
        <charset val="134"/>
      </rPr>
      <t>2</t>
    </r>
    <r>
      <rPr>
        <sz val="12"/>
        <color indexed="8"/>
        <rFont val="宋体"/>
        <family val="3"/>
        <charset val="134"/>
      </rPr>
      <t>2、其他费用</t>
    </r>
  </si>
  <si>
    <t>其他不可遇见性费用；例如春节留守鞭炮、烟花、贴字等</t>
  </si>
  <si>
    <t>本项目编制人员68人，工期按照4年工期进行计算</t>
  </si>
  <si>
    <t>项目名称:梧州养护3标</t>
  </si>
  <si>
    <t>成测表2-6</t>
  </si>
  <si>
    <t>细目名称</t>
  </si>
  <si>
    <t>单价（或取费系数）</t>
  </si>
  <si>
    <t>合价</t>
  </si>
  <si>
    <t>审核意见</t>
  </si>
  <si>
    <t>安全施工费</t>
  </si>
  <si>
    <t>元</t>
  </si>
  <si>
    <t>安全文明施工及环保费用综合按1%总控</t>
  </si>
  <si>
    <t>文明施工费</t>
  </si>
  <si>
    <t>检验试验费</t>
  </si>
  <si>
    <t>按西中大工程[2017]144号文件取费标准取费</t>
  </si>
  <si>
    <t>竣工文件</t>
  </si>
  <si>
    <t>项</t>
  </si>
  <si>
    <t>参考梧州环城取费</t>
  </si>
  <si>
    <t>成测表3</t>
  </si>
  <si>
    <t>集团财务和人资核定费用</t>
  </si>
  <si>
    <t>2018年1月-3月按实际金额合计，2018年4月-12月按45人预估，2019-2020年按照50人编制人数预估；2021-2022年后期管理预留11人，预估每人月工资6000元/月；530000+350000*9+424000*12*2+11*6000*12*2=15440000，另外加入2017年8月-12月实际发生的工资416000元</t>
  </si>
  <si>
    <t>已按人资部审核意见修改</t>
  </si>
  <si>
    <t>春节500元/人、中秋节500元/人，端午节100元/人，1100元/人*63人*3年；后期预留10人，预留两年1100元/人*11人*2年</t>
  </si>
  <si>
    <t>外部人员就餐10人/每月*12个月*3年，编制63人，外租车5人，按照16元/天计算，78人*16元/天*30天*12个月*3年=1347840元，                                 团队建设费，每季度1次，50元/人，编制63人，4季度*50元/人*63人*3年=37800元；                                   春节留守人员15人（合计3处留守，每处5人），15人*1000元/人*3年=45000元；   后期预留11人，预留2年，11人*16元/天*30天*12个月*2年=115200              另外加入截止2017年12月实际发生的伙食费80000元</t>
  </si>
  <si>
    <t>南方探亲费500元/人（5人）；北方探亲费2000元/人（45人）；后期预留10人，预留2年，每人每年可以报销2次往返路费；</t>
  </si>
  <si>
    <t>聚餐费2000元/月，厨房用品2000元/月（两个厨房），误餐费2000元/月，生活（办公室）用品2000元/月；购买生活用品（床上用品、床、桶、四件套）50人*1000元/人；购买电热毯100元/人*50人；共计271000元；                 后期预留10人，预留2年，厨房用品500元/月（1个厨房），生活（办公室）用品500元/月；购买生活用品（床上用品、床、桶、四件套）10人*1000元/人；购买电热毯100元/人*11人；共计</t>
  </si>
  <si>
    <t>二建考试每人每年2000元*3年次*5人；安全员培训每年2次，每次3人，费用1000元/人/次</t>
  </si>
  <si>
    <t>团体意外险，按照赔付上限40万，限额人数300人计算</t>
  </si>
  <si>
    <t>50人编制，2018年预估41人购买社保，每人每年14000元计算，2019-2020年按50人预估，另外加入截止2017年12月实际发生的社保费22000元，共计1996000元；后期预留11人，预留2年，每人每年14000元计算</t>
  </si>
  <si>
    <t>同意</t>
  </si>
  <si>
    <t>A4纸600元/月，A5纸400元/月，B5纸400元/月，彩色打印及红头文件600元/月，半年刊、年刊1500元，书报费用100元/月，墨粉600元/月，墨盒200元/月，合同装订350元/月，打印机维修费300元/月；购办公用低值易耗品（打印机、办公桌、办公椅等）50000元。因获取专票的几率比较低，所以预算价为含税价</t>
  </si>
  <si>
    <t>网络建设费：大坪进口、福岭出口5000元/处；大坪出口、福岭进口需拉设12公里的专线（光纤）约30万；
月租网费5000元/月，36个月                                              后期预留一个地点的网络费用，使用2年，每月2500元/月</t>
  </si>
  <si>
    <t>桶装水40桶*12元/桶/月，工地矿泉水10件*20元/月，其他零星费用预计2000元/月；后期预留人员，11人，预留2年，桶装水2桶*12元/桶/月，其他零星费用预计500元/月</t>
  </si>
  <si>
    <t>项目部自有车辆2台*5600元/年*3年</t>
  </si>
  <si>
    <t>计划投入自有车辆2台，参考别的项目同一类别的费用实际发生数预测维修费4000元/季度/台，另外考虑1年1次大修8000元/台，预计可获取进项税率为3%的专票，不含税正常保养费用≈4000元*2/1.03≈7767元，不含税大修费用≈8000元*2/1.03≈15534元，</t>
  </si>
  <si>
    <t>保养费：自有车2部按每1.5月保养一次,每年保养8次，一次1200元，3年保养费=57600元；
维修费：自有车2部每年维修6次，每次5000元，3年维修费共计180000元；                     更换轮胎：自有车2部每半年需更换一次轮胎，每次2500元/次，3年共计30000元；               自有车991维修费：每年25000元/年，3年3年共计75000元</t>
  </si>
  <si>
    <t>7辆车，按照每辆车4000/km/月，平均油耗13L/百公里，4000km*13L/100km*6辆*7元/L，另外加入截止2017年12月实际发生的油料费40000元；              后期预留1辆外租车，使用2年，按照每辆车4000/km/月，平均油耗13L/百公里，4000km*13L/100km*1辆*7元/L，</t>
  </si>
  <si>
    <t>集团财务会同集团行政部审核同意</t>
  </si>
  <si>
    <t>参考上年实际发生数预测停车费350元/月/台*7台，洗车费60元/月/台*7台，   后期预留1辆外租车，使用2年</t>
  </si>
  <si>
    <t>外租车5辆，每辆每月8500元，每季度预测超行补助500元/辆，另外加入截止2017年12月实际发生的租车费103000元；添加后期预留外租车辆1台，租用2年</t>
  </si>
  <si>
    <t>计划投入自有车辆2台，参考别的项目同一类别的费用上年实际发生数预测，年审费3000元/台/次、车饰费等费用1500元/台/季度</t>
  </si>
  <si>
    <t>集团财务审核同意，参考梧州、柳武等项目开累差费占产值的比例</t>
  </si>
  <si>
    <t>以2018年2月份财务账面实际计提的折旧费为预算基础，在不考虑期间新增数量或减少数量对计提折旧的影响因素下，预算如下：现有电脑14台，其中调入3台，购入11台，平均月折旧71元/台，预计新增电脑26台；现有空调74台，其中购入25台，调入49台（已计提完折旧），平均月折旧69元/台；打印机2台，平均月折旧73元/台，预计新增1台，平均月折旧314元/台；测量仪器6台，月平均折旧884元/台；其他办公、厨房资产12个，平均月折旧96元/台。预算价格为不含税价。</t>
  </si>
  <si>
    <t>现有空调74台，其中49台不再计提折旧，预计年维修费用600元/台；现有电脑14台，预计新增26台，平均年维修费用200元/台；小打印机6台，预计年维修费用2400元/台，大打印机1台，预计年维修费用6000元/台</t>
  </si>
  <si>
    <t>其他临时性增加的资产费用20000元/年</t>
  </si>
  <si>
    <t>集团财务审核同意</t>
  </si>
  <si>
    <t>10、低值易耗品摊销费用</t>
  </si>
  <si>
    <t>从2017年9月-2018年2月低值易耗品财务账面实际发生额约16万元，最终审核=已发生额160000元+200元/人/月*50人*36个月=520000元</t>
  </si>
  <si>
    <t>12、劳动保护费</t>
  </si>
  <si>
    <t>每月购买口罩、水鞋、雨伞、反光衣等劳动保护用品2000元/月；夏季发放防暑保护用品5000元/年。因该费用获取的专票几率低，所以价格为含税价</t>
  </si>
  <si>
    <t>项目驻地平均按照25000元/月进行测算，垃圾处理费500元/月</t>
  </si>
  <si>
    <t>集团公司规定此费用最高限额为不含税收入的0.4%，考虑到业主是集团公司实际控制的全资子公司，但同时考虑到其他相关职能单位检查次数多、力度大，综合考虑此费用按不含税收入的0.3%测算</t>
  </si>
  <si>
    <t>暂按不含税收入的4‰测算。考虑到业主是集团实际控制的全资子公司，业务沟通费应在此基础再调减。</t>
  </si>
  <si>
    <t>购买计量360000元，财务软件10000元；实验联网软件50000元，预算价为不含税价</t>
  </si>
  <si>
    <t>截止2018年2月，房屋租赁、装修费财务账面实际发生额481644.96元</t>
  </si>
  <si>
    <t>宣传册、半年刊、年刊等费用1000元/月，办公驻地外的标志费用2000元/月</t>
  </si>
  <si>
    <t>宣传册等费用大多是公司承担，此费用减半测算。</t>
  </si>
  <si>
    <t>21、办公、生活用临时设施摊销</t>
  </si>
  <si>
    <t xml:space="preserve"> 办公生活临时设施费总额6759593.99元，按36个月分摊 </t>
  </si>
  <si>
    <t>成本部审核数据属实，按实计列</t>
  </si>
  <si>
    <t>22、其他费用</t>
  </si>
  <si>
    <t>23、印花税、水利建设基金</t>
  </si>
  <si>
    <t>印花税按含税收入的万分之三计提；水利建设基金按不含税金额的千分之一计提</t>
  </si>
  <si>
    <t>本项目编制人员45人，工期按照3年工期进行计算，预留人员11人预估，预留期2年进行计算</t>
  </si>
  <si>
    <t>税金待抵扣明细表</t>
  </si>
  <si>
    <t>抵扣项目</t>
  </si>
  <si>
    <t>工程预算金额</t>
  </si>
  <si>
    <t>抵扣金额</t>
  </si>
  <si>
    <t>钢材</t>
  </si>
  <si>
    <t>柴油</t>
  </si>
  <si>
    <t>河沙</t>
  </si>
  <si>
    <t>土工材料</t>
  </si>
  <si>
    <t>钢绞线</t>
  </si>
  <si>
    <t>沥青</t>
  </si>
  <si>
    <t>自购设备</t>
  </si>
  <si>
    <t>劳务分包</t>
  </si>
  <si>
    <t>机械租赁</t>
  </si>
  <si>
    <t>安全费用</t>
  </si>
  <si>
    <t>临时设施
（除征地外）</t>
  </si>
  <si>
    <t>橡胶支座</t>
  </si>
  <si>
    <t>炸药</t>
  </si>
  <si>
    <t>监控量测</t>
  </si>
  <si>
    <t>水电费（直接）</t>
  </si>
  <si>
    <t>抵扣合计</t>
  </si>
  <si>
    <t>合同缴纳金额</t>
  </si>
  <si>
    <t>抵扣余额</t>
  </si>
  <si>
    <t>待抵扣明细表</t>
  </si>
  <si>
    <t>桂柳四标税负测算表</t>
  </si>
  <si>
    <t>单位:万元</t>
  </si>
  <si>
    <t>项    目</t>
  </si>
  <si>
    <t>含税金额</t>
  </si>
  <si>
    <t>不含税金额</t>
  </si>
  <si>
    <t>销项税税率</t>
  </si>
  <si>
    <t>销项税额</t>
  </si>
  <si>
    <t>进项税率</t>
  </si>
  <si>
    <t>进项税额</t>
  </si>
  <si>
    <t>实际税额</t>
  </si>
  <si>
    <t>实际税率</t>
  </si>
  <si>
    <t>合同价</t>
  </si>
  <si>
    <t>成本项目</t>
  </si>
  <si>
    <t>水泥、钢材、土工布等外购甲供材料</t>
  </si>
  <si>
    <t>砂石材料</t>
  </si>
  <si>
    <t>机械租赁费</t>
  </si>
  <si>
    <t>临时设施建设</t>
  </si>
  <si>
    <t>试验检测费、竣工文件费用</t>
  </si>
  <si>
    <t>安全生产及文明施工费用</t>
  </si>
  <si>
    <t>3%/17%</t>
  </si>
  <si>
    <t>60%部分增值税率17%，40%增值税率3%</t>
  </si>
  <si>
    <t>工程管理系统费用和监控设备</t>
  </si>
  <si>
    <t>钢模板</t>
  </si>
  <si>
    <t>生产用电电费</t>
  </si>
  <si>
    <t>施工便道修建与维护</t>
  </si>
  <si>
    <t>工程一切险、第三方责任险及团体意外险</t>
  </si>
  <si>
    <t>劳务派遣人员费用</t>
  </si>
  <si>
    <t>临时用电</t>
  </si>
  <si>
    <t>砼拌合运输费用</t>
  </si>
  <si>
    <t>拌和站、装载机按17%计税，运输及其他按11%计税</t>
  </si>
  <si>
    <t>间接费（车辆使用费和办公费用等）</t>
  </si>
  <si>
    <t>间接费中的办公费用、车辆使用费、固定资产费用和房屋租赁等费用的增值税税率按17计算，其他不计增值税</t>
  </si>
  <si>
    <t>销项税合计</t>
  </si>
  <si>
    <t>进项税合计</t>
  </si>
  <si>
    <t>工程量清单</t>
  </si>
  <si>
    <t>项目名称:桂柳项目土建4标(K24+540-K36+000)</t>
  </si>
  <si>
    <t>清单  第200章 路基</t>
  </si>
  <si>
    <t>202-1</t>
  </si>
  <si>
    <t>清理与掘除</t>
  </si>
  <si>
    <t/>
  </si>
  <si>
    <t>202-1-a</t>
  </si>
  <si>
    <t>清理现场与掘除（含清理表土、砍树、挖根、清理孤石等）</t>
  </si>
  <si>
    <t>202-2</t>
  </si>
  <si>
    <t>挖除旧路面</t>
  </si>
  <si>
    <t>202-2-a</t>
  </si>
  <si>
    <t>水泥混凝土路面</t>
  </si>
  <si>
    <t>202-2-b</t>
  </si>
  <si>
    <t>202-2-c</t>
  </si>
  <si>
    <t>碎石路面</t>
  </si>
  <si>
    <t>202-3</t>
  </si>
  <si>
    <t>拆除结构物</t>
  </si>
  <si>
    <t>202-3-a</t>
  </si>
  <si>
    <t>拆除结构物、构筑物、沿线设施等</t>
  </si>
  <si>
    <t>203-1</t>
  </si>
  <si>
    <t>路基挖方</t>
  </si>
  <si>
    <t>203-1-a</t>
  </si>
  <si>
    <t>挖土方(综合运距)</t>
  </si>
  <si>
    <t>203-1-b</t>
  </si>
  <si>
    <t>挖石方(综合运距)</t>
  </si>
  <si>
    <t>203-1-c</t>
  </si>
  <si>
    <t>挖除非适用材料（包括淤泥）(综合运距)</t>
  </si>
  <si>
    <t>203-1-d</t>
  </si>
  <si>
    <t>光面爆破</t>
  </si>
  <si>
    <t>203-1-e</t>
  </si>
  <si>
    <t>耕作层土壤剥离</t>
  </si>
  <si>
    <t>203-2</t>
  </si>
  <si>
    <t>改河、改渠、改路挖方</t>
  </si>
  <si>
    <t>203-2-a</t>
  </si>
  <si>
    <t>203-2-b</t>
  </si>
  <si>
    <t>204-1</t>
  </si>
  <si>
    <t>路基填筑（包括填前压实）</t>
  </si>
  <si>
    <t>204-1-a</t>
  </si>
  <si>
    <t>换填土(路床)</t>
  </si>
  <si>
    <t>204-1-a1</t>
  </si>
  <si>
    <t>换填碎石土(路床)</t>
  </si>
  <si>
    <t>204-1-b</t>
  </si>
  <si>
    <t>利用土方</t>
  </si>
  <si>
    <t>204-1-c</t>
  </si>
  <si>
    <t>利用石方</t>
  </si>
  <si>
    <t>204-1-c1</t>
  </si>
  <si>
    <t>边坡码砌石方</t>
  </si>
  <si>
    <t>204-1-d</t>
  </si>
  <si>
    <t>利用隧道洞渣填方(含运费)</t>
  </si>
  <si>
    <t>204-1-e</t>
  </si>
  <si>
    <t>借土石填方(含5Km以内运距)</t>
  </si>
  <si>
    <t>204-1-e1</t>
  </si>
  <si>
    <t>土石方超运(5km以上借方)</t>
  </si>
  <si>
    <t>m3•级</t>
  </si>
  <si>
    <t>204-1-g</t>
  </si>
  <si>
    <t>特别填筑区土石(结构物台背回填)</t>
  </si>
  <si>
    <t>204-1-g1</t>
  </si>
  <si>
    <t>回填级配碎石（结构物台背回填）</t>
  </si>
  <si>
    <t>204-1-g2</t>
  </si>
  <si>
    <t>夯实粘土（结构物台背回填）</t>
  </si>
  <si>
    <t>204-1-h</t>
  </si>
  <si>
    <t>锥坡及台前溜坡填土石</t>
  </si>
  <si>
    <t>204-1-i</t>
  </si>
  <si>
    <t>耕作层土壤利用</t>
  </si>
  <si>
    <t>204-2</t>
  </si>
  <si>
    <t>改河、改渠、改路、取弃土场</t>
  </si>
  <si>
    <t>204-2-a</t>
  </si>
  <si>
    <t>204-2-b</t>
  </si>
  <si>
    <t>204-2-c</t>
  </si>
  <si>
    <t>借土石填筑(综合运距)</t>
  </si>
  <si>
    <t>204-2-d</t>
  </si>
  <si>
    <t>204-2-e</t>
  </si>
  <si>
    <t>204-2-f</t>
  </si>
  <si>
    <t>M7.5浆砌片石</t>
  </si>
  <si>
    <t>204-2-g</t>
  </si>
  <si>
    <t>C15/C20混凝土</t>
  </si>
  <si>
    <t>204-2-h</t>
  </si>
  <si>
    <t>C15/C20片石混凝土</t>
  </si>
  <si>
    <t>204-2-i</t>
  </si>
  <si>
    <t>1-Φ0.5圆管涵</t>
  </si>
  <si>
    <t>204-2-j</t>
  </si>
  <si>
    <t>1-Φ0.75圆管涵</t>
  </si>
  <si>
    <t>204-3</t>
  </si>
  <si>
    <t>高填路堤、半填半挖、填挖交界处治</t>
  </si>
  <si>
    <t>204-3-a</t>
  </si>
  <si>
    <t>土工格栅</t>
  </si>
  <si>
    <t>204-3-b</t>
  </si>
  <si>
    <t>路床冲击增强补压（20遍）</t>
  </si>
  <si>
    <t>204-3-c</t>
  </si>
  <si>
    <t>路基冲击增强补压（10遍）</t>
  </si>
  <si>
    <t>204-3-d</t>
  </si>
  <si>
    <t>路基强夯增强补压</t>
  </si>
  <si>
    <t>205-1</t>
  </si>
  <si>
    <t>软土地基处理</t>
  </si>
  <si>
    <t>205-1-d</t>
  </si>
  <si>
    <t>预压与超载预压</t>
  </si>
  <si>
    <t>205-1-l</t>
  </si>
  <si>
    <t>205-1-m</t>
  </si>
  <si>
    <t>强夯</t>
  </si>
  <si>
    <t>205-1-o</t>
  </si>
  <si>
    <t>冲击碾压</t>
  </si>
  <si>
    <t>205-1-p</t>
  </si>
  <si>
    <t>填透水性材料</t>
  </si>
  <si>
    <t>205-2</t>
  </si>
  <si>
    <t>滑坡处理</t>
  </si>
  <si>
    <t>205-2-a</t>
  </si>
  <si>
    <t>清理滑坍土石方</t>
  </si>
  <si>
    <t>205-2-b</t>
  </si>
  <si>
    <t>灌注水泥浆</t>
  </si>
  <si>
    <t>205-3</t>
  </si>
  <si>
    <t>岩溶洞回填</t>
  </si>
  <si>
    <t>205-3-a</t>
  </si>
  <si>
    <t>填片石</t>
  </si>
  <si>
    <t>205-3-b</t>
  </si>
  <si>
    <t>C25/C30盖板混凝土</t>
  </si>
  <si>
    <t>205-3-c</t>
  </si>
  <si>
    <t>HPB300</t>
  </si>
  <si>
    <t>205-3-d</t>
  </si>
  <si>
    <t>HRB400</t>
  </si>
  <si>
    <t>205-3-e</t>
  </si>
  <si>
    <t>205-3-f</t>
  </si>
  <si>
    <t>1-Φ1.0圆管排水涵</t>
  </si>
  <si>
    <t>205-3-g</t>
  </si>
  <si>
    <t>1-Φ1.25圆管排水涵</t>
  </si>
  <si>
    <t>205-3-h</t>
  </si>
  <si>
    <t>1-Φ1.5圆管排水涵</t>
  </si>
  <si>
    <t>207-1</t>
  </si>
  <si>
    <t>路堑边沟</t>
  </si>
  <si>
    <t>207-1-a</t>
  </si>
  <si>
    <t>207-1-b</t>
  </si>
  <si>
    <t>C15片石混凝土</t>
  </si>
  <si>
    <t>207-1-c</t>
  </si>
  <si>
    <t>207-1-d</t>
  </si>
  <si>
    <t>207-1-e</t>
  </si>
  <si>
    <t>207-1-f</t>
  </si>
  <si>
    <t>207-2</t>
  </si>
  <si>
    <t>排水沟（含路堤边沟、引水沟）</t>
  </si>
  <si>
    <t>207-2-a</t>
  </si>
  <si>
    <t>207-2-b</t>
  </si>
  <si>
    <t>207-3</t>
  </si>
  <si>
    <t>截水沟（包括平台排水沟）</t>
  </si>
  <si>
    <t>207-3-a</t>
  </si>
  <si>
    <t>207-4</t>
  </si>
  <si>
    <t>急流槽</t>
  </si>
  <si>
    <t>207-4-a</t>
  </si>
  <si>
    <t>207-4-b</t>
  </si>
  <si>
    <t>207-4-c</t>
  </si>
  <si>
    <t>207-4-d</t>
  </si>
  <si>
    <t>C20混凝土预制块</t>
  </si>
  <si>
    <t>207-4-e</t>
  </si>
  <si>
    <t>207-4-f</t>
  </si>
  <si>
    <t>207-5</t>
  </si>
  <si>
    <t>路基盲沟、路基渗沟</t>
  </si>
  <si>
    <t>207-5-a</t>
  </si>
  <si>
    <t>碎、砾石渗沟(500mm×500mm)</t>
  </si>
  <si>
    <t>207-5-b</t>
  </si>
  <si>
    <t>碎、砾石渗沟(600mm×800mm)</t>
  </si>
  <si>
    <t>207-5-c</t>
  </si>
  <si>
    <t>片石盲沟（400mm×400mm)</t>
  </si>
  <si>
    <t>207-5-d</t>
  </si>
  <si>
    <t>片石盲沟（600mm×800mm)</t>
  </si>
  <si>
    <t>207-5-e</t>
  </si>
  <si>
    <t>片石盲沟（1500mm×2000mm)</t>
  </si>
  <si>
    <t>207-6</t>
  </si>
  <si>
    <t>路基纵向排水涵</t>
  </si>
  <si>
    <t>207-6-a</t>
  </si>
  <si>
    <t>φ50cm钢筋混凝土排水涵</t>
  </si>
  <si>
    <t>208-1</t>
  </si>
  <si>
    <t>植物护坡</t>
  </si>
  <si>
    <t>208-1-a</t>
  </si>
  <si>
    <t>喷播植草/草灌</t>
  </si>
  <si>
    <t>208-1-b</t>
  </si>
  <si>
    <t>挂三维植被网喷播植草/草灌</t>
  </si>
  <si>
    <t>208-1-c</t>
  </si>
  <si>
    <t>客土喷播植草/草灌护坡</t>
  </si>
  <si>
    <t>208-1-d</t>
  </si>
  <si>
    <t>挂镀锌铁丝植被网喷播植草/草灌</t>
  </si>
  <si>
    <t>208-3</t>
  </si>
  <si>
    <t>浆砌片石护坡及骨架</t>
  </si>
  <si>
    <t>208-3-a</t>
  </si>
  <si>
    <t>M7.5浆砌片石护坡</t>
  </si>
  <si>
    <t>208-3-b</t>
  </si>
  <si>
    <t>M7.5浆砌片石骨架</t>
  </si>
  <si>
    <t>208-4</t>
  </si>
  <si>
    <t>现浇、预制混凝土块护坡及骨架（含检修踏步）</t>
  </si>
  <si>
    <t>208-4-a</t>
  </si>
  <si>
    <t>C15水泥混凝土</t>
  </si>
  <si>
    <t>208-4-b</t>
  </si>
  <si>
    <t>C20水泥混凝土预制块(含空心砖、六棱砖、红砖)</t>
  </si>
  <si>
    <t>209-1</t>
  </si>
  <si>
    <t>浆砌片石挡土墙</t>
  </si>
  <si>
    <t>209-1-a</t>
  </si>
  <si>
    <t>M7.5级浆砌片石</t>
  </si>
  <si>
    <t>209-1-d</t>
  </si>
  <si>
    <t>砂砾垫层</t>
  </si>
  <si>
    <t>209-3</t>
  </si>
  <si>
    <t>混凝土挡土墙</t>
  </si>
  <si>
    <t>209-3-a</t>
  </si>
  <si>
    <t>209-3-a1</t>
  </si>
  <si>
    <t>C20片石混凝土</t>
  </si>
  <si>
    <t>209-3-a2</t>
  </si>
  <si>
    <t>209-3-a3</t>
  </si>
  <si>
    <t>C30混凝土（护栏）</t>
  </si>
  <si>
    <t>209-3-b</t>
  </si>
  <si>
    <t>209-3-b1</t>
  </si>
  <si>
    <t>209-3-c</t>
  </si>
  <si>
    <t>209-3-d</t>
  </si>
  <si>
    <t>碎石垫层</t>
  </si>
  <si>
    <t>212-2</t>
  </si>
  <si>
    <t>挂网锚喷混凝土防护边坡（全坡面）</t>
  </si>
  <si>
    <t>212-2-e</t>
  </si>
  <si>
    <t>锚杆</t>
  </si>
  <si>
    <t>215-1</t>
  </si>
  <si>
    <t>浆砌片石河床铺砌/河岸防护</t>
  </si>
  <si>
    <t>215-1-a</t>
  </si>
  <si>
    <t>浆砌片石河床铺砌/河岸防护（M7.5）</t>
  </si>
  <si>
    <t>216-1</t>
  </si>
  <si>
    <t>锚杆格梁（框架）、锚索框架</t>
  </si>
  <si>
    <t>216-1-a</t>
  </si>
  <si>
    <t>216-1-b</t>
  </si>
  <si>
    <t>216-1-c</t>
  </si>
  <si>
    <t>光圆钢筋（HPB300）</t>
  </si>
  <si>
    <t>216-1-d</t>
  </si>
  <si>
    <t>带肋钢筋（HRB400）</t>
  </si>
  <si>
    <t>216-1-e</t>
  </si>
  <si>
    <t>锚杆（Ф25）</t>
  </si>
  <si>
    <t>216-1-f</t>
  </si>
  <si>
    <t>锚杆（Ф28）</t>
  </si>
  <si>
    <t>216-1-g</t>
  </si>
  <si>
    <t>锚杆（Ф32）</t>
  </si>
  <si>
    <t>217-1</t>
  </si>
  <si>
    <t>挂柔性网防护边坡</t>
  </si>
  <si>
    <t>217-1-a</t>
  </si>
  <si>
    <t>挂主动柔性网（钢丝绳网）防护边坡</t>
  </si>
  <si>
    <t>217-1-b</t>
  </si>
  <si>
    <t>挂被动柔性网（拦石网）</t>
  </si>
  <si>
    <t>218-1</t>
  </si>
  <si>
    <t>坡体排水</t>
  </si>
  <si>
    <t>218-1-a</t>
  </si>
  <si>
    <t>Φ130mm深层导水孔</t>
  </si>
  <si>
    <t>第200章合计  人民币</t>
  </si>
  <si>
    <t>清单  第400章 桥梁、涵洞</t>
  </si>
  <si>
    <t>401-1</t>
  </si>
  <si>
    <t>桥梁荷载试验</t>
  </si>
  <si>
    <t>401-1-a</t>
  </si>
  <si>
    <t>401-3</t>
  </si>
  <si>
    <t>永久性观测点</t>
  </si>
  <si>
    <t>401-3-a</t>
  </si>
  <si>
    <t>403-1</t>
  </si>
  <si>
    <t>基础钢筋（包括灌注桩、桩顶系梁、承台、沉桩、沉井等）</t>
  </si>
  <si>
    <t>403-1-a</t>
  </si>
  <si>
    <t>403-1-b</t>
  </si>
  <si>
    <t>403-1-c</t>
  </si>
  <si>
    <t>基础钢筋焊网</t>
  </si>
  <si>
    <t>403-2</t>
  </si>
  <si>
    <t>下部结构钢筋</t>
  </si>
  <si>
    <t>403-2-a</t>
  </si>
  <si>
    <t>403-2-b</t>
  </si>
  <si>
    <t>403-2-c</t>
  </si>
  <si>
    <t>下构钢筋焊网</t>
  </si>
  <si>
    <t>403-3</t>
  </si>
  <si>
    <t>上部结构钢筋</t>
  </si>
  <si>
    <t>403-3-a</t>
  </si>
  <si>
    <t>403-3-b</t>
  </si>
  <si>
    <t>403-3-c</t>
  </si>
  <si>
    <t>403-3-d</t>
  </si>
  <si>
    <t>403-4</t>
  </si>
  <si>
    <t>附属结构钢筋(护栏、搭板、挡块、垫石等)</t>
  </si>
  <si>
    <t>403-4-a</t>
  </si>
  <si>
    <t>403-4-b</t>
  </si>
  <si>
    <t>403-4-c</t>
  </si>
  <si>
    <t>防落网</t>
  </si>
  <si>
    <t>403-4-d</t>
  </si>
  <si>
    <t>钢管栏杆</t>
  </si>
  <si>
    <t>403-4-e</t>
  </si>
  <si>
    <t>其它钢材（墩台检查托架、护栏座等）</t>
  </si>
  <si>
    <t>404-1</t>
  </si>
  <si>
    <t>挖土石方</t>
  </si>
  <si>
    <t>404-1-a</t>
  </si>
  <si>
    <t>405-1</t>
  </si>
  <si>
    <t>钻孔灌注桩(陆地桩）</t>
  </si>
  <si>
    <t>405-1-a</t>
  </si>
  <si>
    <t>桩径D110cm</t>
  </si>
  <si>
    <t>405-1-b</t>
  </si>
  <si>
    <t>桩径D120cm</t>
  </si>
  <si>
    <t>405-1-c</t>
  </si>
  <si>
    <t>桩径D130cm</t>
  </si>
  <si>
    <t>405-1-d</t>
  </si>
  <si>
    <t>桩径D150cm</t>
  </si>
  <si>
    <t>405-1-e</t>
  </si>
  <si>
    <t>桩径D180cm</t>
  </si>
  <si>
    <t>405-1-f</t>
  </si>
  <si>
    <t>桩径D200cm</t>
  </si>
  <si>
    <t>405-1-g</t>
  </si>
  <si>
    <t>桩径D220cm</t>
  </si>
  <si>
    <t>405-2</t>
  </si>
  <si>
    <t>钻孔灌注桩(水中桩）</t>
  </si>
  <si>
    <t>405-2-a</t>
  </si>
  <si>
    <t>405-2-b</t>
  </si>
  <si>
    <t>410-1</t>
  </si>
  <si>
    <t>混凝土基础（包括支撑梁、桩顶系梁、桩基承台，但不包括桩基）</t>
  </si>
  <si>
    <t>410-1-a</t>
  </si>
  <si>
    <t>C25混凝土桥台扩大基础</t>
  </si>
  <si>
    <t>410-1-b</t>
  </si>
  <si>
    <t>C30混凝土桥台扩大基础</t>
  </si>
  <si>
    <t>410-1-c</t>
  </si>
  <si>
    <t>C30桩系梁混凝土</t>
  </si>
  <si>
    <t>410-1-d</t>
  </si>
  <si>
    <t>C30承台混凝土</t>
  </si>
  <si>
    <t>410-2</t>
  </si>
  <si>
    <t>混凝土下部结构</t>
  </si>
  <si>
    <t>410-2-a</t>
  </si>
  <si>
    <t>C25混凝土U型桥台</t>
  </si>
  <si>
    <t>410-2-b</t>
  </si>
  <si>
    <t>C30混凝土墩柱</t>
  </si>
  <si>
    <t>410-2-c</t>
  </si>
  <si>
    <t>C30混凝土肋板</t>
  </si>
  <si>
    <t>410-2-d</t>
  </si>
  <si>
    <t>C30混凝土U型桥台</t>
  </si>
  <si>
    <t>410-2-e</t>
  </si>
  <si>
    <t>C30混凝土盖梁</t>
  </si>
  <si>
    <t>410-2-f</t>
  </si>
  <si>
    <t>C30混凝土台帽</t>
  </si>
  <si>
    <t>410-2-g</t>
  </si>
  <si>
    <t>C30混凝土柱系梁</t>
  </si>
  <si>
    <t>410-2-h</t>
  </si>
  <si>
    <t>C30混凝土耳背墙</t>
  </si>
  <si>
    <t>410-2-i</t>
  </si>
  <si>
    <t>C35混凝土墩柱</t>
  </si>
  <si>
    <t>410-2-j</t>
  </si>
  <si>
    <t>C35混凝土肋板</t>
  </si>
  <si>
    <t>410-2-k</t>
  </si>
  <si>
    <t>C35混凝土U型桥台</t>
  </si>
  <si>
    <t>410-2-l</t>
  </si>
  <si>
    <t>C35混凝土盖梁</t>
  </si>
  <si>
    <t>410-2-m</t>
  </si>
  <si>
    <t>C35混凝土台帽</t>
  </si>
  <si>
    <t>410-2-n</t>
  </si>
  <si>
    <t>C35混凝土柱系梁</t>
  </si>
  <si>
    <t>410-2-o</t>
  </si>
  <si>
    <t>C35耳背墙混凝土</t>
  </si>
  <si>
    <t>410-2-p</t>
  </si>
  <si>
    <t>C40实心墩混凝土</t>
  </si>
  <si>
    <t>410-2-q</t>
  </si>
  <si>
    <t>C40盖梁混凝土</t>
  </si>
  <si>
    <t>410-3</t>
  </si>
  <si>
    <t>现浇混凝土上部结构(非预应力)</t>
  </si>
  <si>
    <t>410-3-a</t>
  </si>
  <si>
    <t>现浇C30混凝土实心板</t>
  </si>
  <si>
    <t>410-3-b</t>
  </si>
  <si>
    <t>现浇C40混凝土箱梁</t>
  </si>
  <si>
    <t>410-5</t>
  </si>
  <si>
    <t>上部结构现浇整体化混凝土(墩顶连续段、铰缝、湿接缝、横隔板等，不含桥面整体化层)</t>
  </si>
  <si>
    <t>410-5-a</t>
  </si>
  <si>
    <t>410-5-b</t>
  </si>
  <si>
    <t>410-6</t>
  </si>
  <si>
    <t>现浇混凝土附属结构(护栏、搭板、枕梁、挡块、垫石等)</t>
  </si>
  <si>
    <t>410-6-a</t>
  </si>
  <si>
    <t>C30混凝土防撞护栏</t>
  </si>
  <si>
    <t>410-6-b</t>
  </si>
  <si>
    <t>C30混凝土搭板（含枕梁）</t>
  </si>
  <si>
    <t>410-6-c</t>
  </si>
  <si>
    <t>C30/C35/C40挡块混凝土</t>
  </si>
  <si>
    <t>410-6-d</t>
  </si>
  <si>
    <t>C40小石子混凝土垫石</t>
  </si>
  <si>
    <t>410-7</t>
  </si>
  <si>
    <t>预制混凝土附属结构</t>
  </si>
  <si>
    <t>410-7-a</t>
  </si>
  <si>
    <t>411-5</t>
  </si>
  <si>
    <t>411-5-a</t>
  </si>
  <si>
    <t>后张法预应力钢绞线φs15.2</t>
  </si>
  <si>
    <t>411-6</t>
  </si>
  <si>
    <t>后张法预应力钢筋</t>
  </si>
  <si>
    <t>411-6-a</t>
  </si>
  <si>
    <t>精轧螺纹钢</t>
  </si>
  <si>
    <t>411-7</t>
  </si>
  <si>
    <t>现浇预应力混凝土上部结构</t>
  </si>
  <si>
    <t>411-7-a</t>
  </si>
  <si>
    <t>C50混凝土箱梁</t>
  </si>
  <si>
    <t>411-7-b</t>
  </si>
  <si>
    <t>C50悬浇混凝土</t>
  </si>
  <si>
    <t>411-8</t>
  </si>
  <si>
    <t>预制预应力混凝土上部结构</t>
  </si>
  <si>
    <t>411-8-a</t>
  </si>
  <si>
    <t>C50混凝土空心板</t>
  </si>
  <si>
    <t>411-8-b</t>
  </si>
  <si>
    <t>C50混凝土小箱梁</t>
  </si>
  <si>
    <t>411-8-c</t>
  </si>
  <si>
    <t>C50混凝土T梁</t>
  </si>
  <si>
    <t>413-1</t>
  </si>
  <si>
    <t>砌石工程</t>
  </si>
  <si>
    <t>413-1-a</t>
  </si>
  <si>
    <t>413-1-b</t>
  </si>
  <si>
    <t>砼预制块</t>
  </si>
  <si>
    <t>415-1</t>
  </si>
  <si>
    <t>沥青混凝土桥面铺装</t>
  </si>
  <si>
    <t>415-1-a</t>
  </si>
  <si>
    <t>4cm SMA改性沥青混凝土上层面</t>
  </si>
  <si>
    <t>415-1-b</t>
  </si>
  <si>
    <t>6cm AC-20C改性沥青混凝土下层面</t>
  </si>
  <si>
    <t>415-2</t>
  </si>
  <si>
    <t>水泥混凝土桥面铺装</t>
  </si>
  <si>
    <t>415-2-a</t>
  </si>
  <si>
    <t>C50防水混凝土桥面铺装</t>
  </si>
  <si>
    <t>415-3</t>
  </si>
  <si>
    <t>防水层</t>
  </si>
  <si>
    <t>415-3-a</t>
  </si>
  <si>
    <t>桥面防水层</t>
  </si>
  <si>
    <t>416-1</t>
  </si>
  <si>
    <t>矩形板式橡胶支座</t>
  </si>
  <si>
    <t>416-1-a</t>
  </si>
  <si>
    <t>GJZ150×180×35</t>
  </si>
  <si>
    <t>个</t>
  </si>
  <si>
    <t>416-2</t>
  </si>
  <si>
    <t>圆形板式橡胶支座</t>
  </si>
  <si>
    <t>416-2-a</t>
  </si>
  <si>
    <t>416-2-b</t>
  </si>
  <si>
    <t>GYZ450×99(NR)</t>
  </si>
  <si>
    <t>416-2-c</t>
  </si>
  <si>
    <t>416-2-d</t>
  </si>
  <si>
    <t>416-2-e</t>
  </si>
  <si>
    <t>416-2-f</t>
  </si>
  <si>
    <t>417-2</t>
  </si>
  <si>
    <t>模数式伸缩装置</t>
  </si>
  <si>
    <t>417-2-a</t>
  </si>
  <si>
    <t>417-2-b</t>
  </si>
  <si>
    <t>418-1</t>
  </si>
  <si>
    <t>桥梁排水管</t>
  </si>
  <si>
    <t>418-1-a</t>
  </si>
  <si>
    <t>桥梁集水引排φ100mmPVC排水管</t>
  </si>
  <si>
    <t>418-1-b</t>
  </si>
  <si>
    <t>桥梁集水引排φ150mmPVC排水管</t>
  </si>
  <si>
    <t>418-1-c</t>
  </si>
  <si>
    <t>桥梁集水引排φ200mmPVC排水管</t>
  </si>
  <si>
    <t>418-1-d</t>
  </si>
  <si>
    <t>419-1</t>
  </si>
  <si>
    <t>单孔钢筋混凝土圆管涵</t>
  </si>
  <si>
    <t>419-1-a</t>
  </si>
  <si>
    <t>1-Φ0.5</t>
  </si>
  <si>
    <t>419-1-b</t>
  </si>
  <si>
    <t>1-Φ1.0</t>
  </si>
  <si>
    <t>419-1-c</t>
  </si>
  <si>
    <t>1-Φ1.25</t>
  </si>
  <si>
    <t>419-1-d</t>
  </si>
  <si>
    <t>1-Φ1.5</t>
  </si>
  <si>
    <t>420-1</t>
  </si>
  <si>
    <t>钢筋混凝土盖板涵</t>
  </si>
  <si>
    <t>420-1-b</t>
  </si>
  <si>
    <t>1-2.0×2.0</t>
  </si>
  <si>
    <t>420-1-h</t>
  </si>
  <si>
    <t>1-6.0×5.0</t>
  </si>
  <si>
    <t>420-3</t>
  </si>
  <si>
    <t>钢筋混凝土盖板通道涵</t>
  </si>
  <si>
    <t>420-3-h</t>
  </si>
  <si>
    <t>1-6.0×4.5</t>
  </si>
  <si>
    <t>420-5</t>
  </si>
  <si>
    <t>钢筋混凝土盖板明函搭板、涵顶铺装</t>
  </si>
  <si>
    <t>420-5-a</t>
  </si>
  <si>
    <t>C30砼搭板</t>
  </si>
  <si>
    <t>420-5-b</t>
  </si>
  <si>
    <t>C40防水砼</t>
  </si>
  <si>
    <t>420-5-c</t>
  </si>
  <si>
    <t>HPB300级钢筋</t>
  </si>
  <si>
    <t>420-5-d</t>
  </si>
  <si>
    <t>HRB400级钢筋</t>
  </si>
  <si>
    <t>420-5-e</t>
  </si>
  <si>
    <t>D10带肋钢筋网</t>
  </si>
  <si>
    <t>420-6</t>
  </si>
  <si>
    <t>基底处理（通道涵、盖板涵、箱涵）</t>
  </si>
  <si>
    <t>420-6-a</t>
  </si>
  <si>
    <t>换填片石</t>
  </si>
  <si>
    <t>420-6-b</t>
  </si>
  <si>
    <t>换填碎石(砂砾）</t>
  </si>
  <si>
    <t>420-6-c</t>
  </si>
  <si>
    <t>换填浆砌片石</t>
  </si>
  <si>
    <t>420-7</t>
  </si>
  <si>
    <t>通道内路面</t>
  </si>
  <si>
    <t>420-7-a</t>
  </si>
  <si>
    <t>C25混凝土水沟盖板</t>
  </si>
  <si>
    <t>420-7-b</t>
  </si>
  <si>
    <t>C30混凝土路面</t>
  </si>
  <si>
    <t>420-7-c</t>
  </si>
  <si>
    <t>水泥稳定碎石基层</t>
  </si>
  <si>
    <t>420-7-d</t>
  </si>
  <si>
    <t>420-7-e</t>
  </si>
  <si>
    <t>420-7-f</t>
  </si>
  <si>
    <t>第400章合计  人民币</t>
  </si>
  <si>
    <t>项目名称:土建4标(K24+540-K36+000)</t>
  </si>
  <si>
    <t>清单  第500章 隧 道</t>
  </si>
  <si>
    <t>502-1</t>
  </si>
  <si>
    <t>洞口、明洞开挖</t>
  </si>
  <si>
    <t>502-1-a</t>
  </si>
  <si>
    <t>土方</t>
  </si>
  <si>
    <t>502-1-b</t>
  </si>
  <si>
    <t>石方</t>
  </si>
  <si>
    <t>502-2</t>
  </si>
  <si>
    <t>洞口防水与排水</t>
  </si>
  <si>
    <t>502-2-c</t>
  </si>
  <si>
    <t>C20混凝土洞顶水沟</t>
  </si>
  <si>
    <t>502-2-d</t>
  </si>
  <si>
    <t>C20混凝土截水天沟</t>
  </si>
  <si>
    <t>502-2-f</t>
  </si>
  <si>
    <t>φ50cmPVC排水管</t>
  </si>
  <si>
    <t>502-2-g</t>
  </si>
  <si>
    <t>碎石反滤层</t>
  </si>
  <si>
    <t>502-2-h</t>
  </si>
  <si>
    <t>M10水泥砂浆保护层</t>
  </si>
  <si>
    <t>502-2-i</t>
  </si>
  <si>
    <t>砂砾盲沟</t>
  </si>
  <si>
    <t>502-3</t>
  </si>
  <si>
    <t>洞口坡面防护</t>
  </si>
  <si>
    <t>502-3-b</t>
  </si>
  <si>
    <t>502-3-c</t>
  </si>
  <si>
    <t>种草,铺草皮</t>
  </si>
  <si>
    <t>502-3-c1</t>
  </si>
  <si>
    <t>挂三维网植草</t>
  </si>
  <si>
    <t>502-3-d</t>
  </si>
  <si>
    <t>502-3-e</t>
  </si>
  <si>
    <t>钢筋网</t>
  </si>
  <si>
    <t>502-3-f</t>
  </si>
  <si>
    <t>主动网</t>
  </si>
  <si>
    <t>502-3-g</t>
  </si>
  <si>
    <t>注浆小导管（Φ42×3.5mm）</t>
  </si>
  <si>
    <t>502-3-h</t>
  </si>
  <si>
    <t>拱形骨架植草护坡</t>
  </si>
  <si>
    <t>502-3-i</t>
  </si>
  <si>
    <t>C25砼挡墙</t>
  </si>
  <si>
    <t>502-3-j</t>
  </si>
  <si>
    <t>C30砼挡墙/耳墙</t>
  </si>
  <si>
    <t>502-4</t>
  </si>
  <si>
    <t>洞门建筑</t>
  </si>
  <si>
    <t>502-4-a</t>
  </si>
  <si>
    <t>502-4-a1</t>
  </si>
  <si>
    <t>502-4-b</t>
  </si>
  <si>
    <t>M7.5/M10浆砌粗料石（块石）</t>
  </si>
  <si>
    <t>502-4-c</t>
  </si>
  <si>
    <t>502-4-c1</t>
  </si>
  <si>
    <t>502-4-d</t>
  </si>
  <si>
    <t>Φ22定位锚杆</t>
  </si>
  <si>
    <t>502-4-e</t>
  </si>
  <si>
    <t>花岗岩饰面(2cm厚）</t>
  </si>
  <si>
    <t>502-4-f</t>
  </si>
  <si>
    <t>乳胶漆饰面</t>
  </si>
  <si>
    <t>502-5</t>
  </si>
  <si>
    <t>明洞衬砌</t>
  </si>
  <si>
    <t>502-5-a</t>
  </si>
  <si>
    <t>C30拱墙混凝土</t>
  </si>
  <si>
    <t>502-5-b</t>
  </si>
  <si>
    <t>502-5-c</t>
  </si>
  <si>
    <t>502-5-d</t>
  </si>
  <si>
    <t>C30仰拱混凝土</t>
  </si>
  <si>
    <t>502-5-e</t>
  </si>
  <si>
    <t>C15仰拱回填混凝土</t>
  </si>
  <si>
    <t>502-7</t>
  </si>
  <si>
    <t>洞顶回填</t>
  </si>
  <si>
    <t>502-7-a</t>
  </si>
  <si>
    <t>回填土石方</t>
  </si>
  <si>
    <t>502-7-b</t>
  </si>
  <si>
    <t>隔水层粘土</t>
  </si>
  <si>
    <t>502-7-c</t>
  </si>
  <si>
    <t>回填种植土</t>
  </si>
  <si>
    <t>502-7-d</t>
  </si>
  <si>
    <t>回填M10级浆砌片石</t>
  </si>
  <si>
    <t>503-1</t>
  </si>
  <si>
    <t>洞身开挖</t>
  </si>
  <si>
    <t>503-1-a</t>
  </si>
  <si>
    <t>503-1-b</t>
  </si>
  <si>
    <t>503-1-b1</t>
  </si>
  <si>
    <t>石方超运(洞口3km以上石方利用)</t>
  </si>
  <si>
    <t>m3•km</t>
  </si>
  <si>
    <t>503-2</t>
  </si>
  <si>
    <t>超前支护</t>
  </si>
  <si>
    <t>503-2-a</t>
  </si>
  <si>
    <t>Φ22超前锚杆</t>
  </si>
  <si>
    <t>503-2-b</t>
  </si>
  <si>
    <t>小钢管Φ42×4</t>
  </si>
  <si>
    <t>503-2-c</t>
  </si>
  <si>
    <t>管棚 钢管（Φ108×6mm）</t>
  </si>
  <si>
    <t>503-2-d</t>
  </si>
  <si>
    <t>503-2-e</t>
  </si>
  <si>
    <t>型钢（综合型号）</t>
  </si>
  <si>
    <t>503-2-f</t>
  </si>
  <si>
    <t>Φ22纵向连接钢筋</t>
  </si>
  <si>
    <t>503-2-g</t>
  </si>
  <si>
    <t>C25套拱混凝土</t>
  </si>
  <si>
    <t>503-3</t>
  </si>
  <si>
    <t>初期支护</t>
  </si>
  <si>
    <t>503-3-b</t>
  </si>
  <si>
    <t>503-3-c</t>
  </si>
  <si>
    <t>503-3-d</t>
  </si>
  <si>
    <t>503-3-e</t>
  </si>
  <si>
    <t>503-3-f</t>
  </si>
  <si>
    <t>503-3-g</t>
  </si>
  <si>
    <t>格栅光圆钢筋（HPB300）</t>
  </si>
  <si>
    <t>503-3-h</t>
  </si>
  <si>
    <t>格栅带肋钢筋（HRB400）</t>
  </si>
  <si>
    <t>503-3-i</t>
  </si>
  <si>
    <t>503-3-j</t>
  </si>
  <si>
    <t>锁脚钢花管（Φ42×3.5mm）</t>
  </si>
  <si>
    <t>503-5</t>
  </si>
  <si>
    <t>临时支护</t>
  </si>
  <si>
    <t>503-5-a</t>
  </si>
  <si>
    <t>503-5-b</t>
  </si>
  <si>
    <t>503-5-c</t>
  </si>
  <si>
    <t>503-5-d</t>
  </si>
  <si>
    <t>504-1</t>
  </si>
  <si>
    <t>洞身衬砌</t>
  </si>
  <si>
    <t>504-1-a</t>
  </si>
  <si>
    <t>504-1-a1</t>
  </si>
  <si>
    <t>C30门洞过梁混凝土</t>
  </si>
  <si>
    <t>504-1-c1</t>
  </si>
  <si>
    <t>C20混凝土轻型砌块</t>
  </si>
  <si>
    <t>504-1-d</t>
  </si>
  <si>
    <t>504-1-e</t>
  </si>
  <si>
    <t>504-1-f</t>
  </si>
  <si>
    <t>M20砂浆</t>
  </si>
  <si>
    <t>504-1-g</t>
  </si>
  <si>
    <t>拱顶预埋Φ42×4注浆管</t>
  </si>
  <si>
    <t>504-2</t>
  </si>
  <si>
    <t>仰拱、铺底混凝土</t>
  </si>
  <si>
    <t>504-2-a</t>
  </si>
  <si>
    <t>504-2-b</t>
  </si>
  <si>
    <t>504-3</t>
  </si>
  <si>
    <t>边沟、电缆沟、排水沟</t>
  </si>
  <si>
    <t>504-3-a1</t>
  </si>
  <si>
    <t>预制、安装C30路缘边沟混凝土</t>
  </si>
  <si>
    <t>504-3-a2</t>
  </si>
  <si>
    <t>预制、安装C30混凝土盖板混凝土</t>
  </si>
  <si>
    <t>504-3-b</t>
  </si>
  <si>
    <t>现浇C25沟槽混凝土</t>
  </si>
  <si>
    <t>504-3-b1</t>
  </si>
  <si>
    <t>现浇C30沟槽混凝土</t>
  </si>
  <si>
    <t>504-3-c</t>
  </si>
  <si>
    <t>504-3-d</t>
  </si>
  <si>
    <t>504-3-e</t>
  </si>
  <si>
    <t>504-4</t>
  </si>
  <si>
    <t>洞室门</t>
  </si>
  <si>
    <t>504-4-a</t>
  </si>
  <si>
    <t>隔热甲级防火门（250×200cm)</t>
  </si>
  <si>
    <t>副</t>
  </si>
  <si>
    <t>504-4-b</t>
  </si>
  <si>
    <t>防火甲级自动卷闸门（540×500cm)</t>
  </si>
  <si>
    <t>504-4-c</t>
  </si>
  <si>
    <t>平推防火门</t>
  </si>
  <si>
    <t>504-5</t>
  </si>
  <si>
    <t>504-5-a</t>
  </si>
  <si>
    <t>C30混凝土面层（厚250mm）</t>
  </si>
  <si>
    <t>504-5-a1</t>
  </si>
  <si>
    <t>C40混凝土面层（厚280㎜）</t>
  </si>
  <si>
    <t>504-5-b</t>
  </si>
  <si>
    <t>504-5-c</t>
  </si>
  <si>
    <t>504-5-d</t>
  </si>
  <si>
    <t>C15混凝土调平层（15cm）</t>
  </si>
  <si>
    <t>504-5-e</t>
  </si>
  <si>
    <t>C20混凝土基层（20cm）</t>
  </si>
  <si>
    <t>504-5-f</t>
  </si>
  <si>
    <t>SMA-13改性沥青混凝土表面层厚40mm</t>
  </si>
  <si>
    <t>504-5-g</t>
  </si>
  <si>
    <t>AC-20C改性沥青混凝土中面层厚60mm</t>
  </si>
  <si>
    <t>504-5-h</t>
  </si>
  <si>
    <t>改性沥青粘结防水层</t>
  </si>
  <si>
    <t>505-1</t>
  </si>
  <si>
    <t>洞身防水与排水</t>
  </si>
  <si>
    <t>505-1-a</t>
  </si>
  <si>
    <t>防水板（EVA1.5mm厚）</t>
  </si>
  <si>
    <t>505-1-b</t>
  </si>
  <si>
    <t>505-1-c</t>
  </si>
  <si>
    <t>中埋式橡胶止水带</t>
  </si>
  <si>
    <t>505-1-c1</t>
  </si>
  <si>
    <t>背贴式止水带</t>
  </si>
  <si>
    <t>505-1-d</t>
  </si>
  <si>
    <t>膨胀止水条</t>
  </si>
  <si>
    <t>505-1-i</t>
  </si>
  <si>
    <t>φ100HDPE双壁打孔纵向波纹管</t>
  </si>
  <si>
    <t>505-1-j</t>
  </si>
  <si>
    <t>φ100PE双壁横向波纹管</t>
  </si>
  <si>
    <t>505-1-k</t>
  </si>
  <si>
    <t>φ110半圆排水管（环向）</t>
  </si>
  <si>
    <t>505-1-l</t>
  </si>
  <si>
    <t>扁形6*5排水盲沟</t>
  </si>
  <si>
    <t>505-1-m</t>
  </si>
  <si>
    <t>横向盲沟</t>
  </si>
  <si>
    <t>505-1-n</t>
  </si>
  <si>
    <t>排水沟检查井</t>
  </si>
  <si>
    <t>座</t>
  </si>
  <si>
    <t>505-1-o</t>
  </si>
  <si>
    <t>沉砂井</t>
  </si>
  <si>
    <t>505-1-p</t>
  </si>
  <si>
    <t>手孔井</t>
  </si>
  <si>
    <t>506-1</t>
  </si>
  <si>
    <t>洞内防火涂料</t>
  </si>
  <si>
    <t>506-1-a</t>
  </si>
  <si>
    <t>喷涂防火涂料</t>
  </si>
  <si>
    <t>506-2</t>
  </si>
  <si>
    <t>洞内装饰工程</t>
  </si>
  <si>
    <t>506-2-a</t>
  </si>
  <si>
    <t>镶贴瓷砖</t>
  </si>
  <si>
    <t>506-2-b</t>
  </si>
  <si>
    <t>喷涂混凝土专用漆</t>
  </si>
  <si>
    <t>508-1</t>
  </si>
  <si>
    <t>508-1-a</t>
  </si>
  <si>
    <t>必测项目（洞内外观察、周边位移、地表下沉）</t>
  </si>
  <si>
    <t>508-1-b</t>
  </si>
  <si>
    <t>选测项目（围岩内部变形量、围岩压力、初期支护喷射混凝土应变、钢架内力及所受荷载、锚杆轴力）</t>
  </si>
  <si>
    <t>509-1</t>
  </si>
  <si>
    <t>地质预报</t>
  </si>
  <si>
    <t>509-1-a</t>
  </si>
  <si>
    <t>TSP超前地质预报</t>
  </si>
  <si>
    <t>次</t>
  </si>
  <si>
    <t>509-1-b</t>
  </si>
  <si>
    <t>地质雷达</t>
  </si>
  <si>
    <t>509-1-c</t>
  </si>
  <si>
    <t>超前地质钻孔</t>
  </si>
  <si>
    <t>509-2</t>
  </si>
  <si>
    <t>隧道地表预加固</t>
  </si>
  <si>
    <t>509-2-a</t>
  </si>
  <si>
    <t>φ89*6mm注浆钢花管</t>
  </si>
  <si>
    <t>509-2-b</t>
  </si>
  <si>
    <t>1:1水泥浆</t>
  </si>
  <si>
    <t>509-3</t>
  </si>
  <si>
    <t>隧道岩溶处理</t>
  </si>
  <si>
    <t>509-3-a</t>
  </si>
  <si>
    <t>C20混凝土回填</t>
  </si>
  <si>
    <t>509-3-b</t>
  </si>
  <si>
    <t>吹砂缓冲层</t>
  </si>
  <si>
    <t>509-3-c</t>
  </si>
  <si>
    <t>M10浆砌片石回填</t>
  </si>
  <si>
    <t>509-3-d</t>
  </si>
  <si>
    <t>I20工字钢架</t>
  </si>
  <si>
    <t>509-3-e</t>
  </si>
  <si>
    <t>Φ76×7mm花钢管</t>
  </si>
  <si>
    <t>509-3-f</t>
  </si>
  <si>
    <t>509-3-g</t>
  </si>
  <si>
    <t>509-4</t>
  </si>
  <si>
    <t>不良地质局部超前注浆</t>
  </si>
  <si>
    <t>509-4-a</t>
  </si>
  <si>
    <t>压浆钻孔</t>
  </si>
  <si>
    <t>509-4-b</t>
  </si>
  <si>
    <t>注水泥浆液</t>
  </si>
  <si>
    <t>509-4-c</t>
  </si>
  <si>
    <t>注水玻璃浆液</t>
  </si>
  <si>
    <t>509-6</t>
  </si>
  <si>
    <t>不良地质全断面注浆</t>
  </si>
  <si>
    <t>509-6-a</t>
  </si>
  <si>
    <t>509-6-b</t>
  </si>
  <si>
    <t>509-6-c</t>
  </si>
  <si>
    <t>509-6-d</t>
  </si>
  <si>
    <t>C25喷射混凝土止浆盘</t>
  </si>
  <si>
    <t>509-7</t>
  </si>
  <si>
    <t>逃生预案</t>
  </si>
  <si>
    <t>509-7-a</t>
  </si>
  <si>
    <t>逃生管道（热轧无缝钢管Φ800mm壁厚6mm）</t>
  </si>
  <si>
    <t>510-1</t>
  </si>
  <si>
    <t>预埋件</t>
  </si>
  <si>
    <t>510-1-a</t>
  </si>
  <si>
    <t>通风设施预埋件</t>
  </si>
  <si>
    <t>510-1-b</t>
  </si>
  <si>
    <t>通信设施预埋件</t>
  </si>
  <si>
    <t>510-1-c</t>
  </si>
  <si>
    <t>照明设施预埋件</t>
  </si>
  <si>
    <t>510-1-d</t>
  </si>
  <si>
    <t>监控设施预埋件</t>
  </si>
  <si>
    <t>510-1-e</t>
  </si>
  <si>
    <t>供配电设施预埋件</t>
  </si>
  <si>
    <t>510-2</t>
  </si>
  <si>
    <t>消防设施</t>
  </si>
  <si>
    <t>510-2-a</t>
  </si>
  <si>
    <t>供水钢管（铸铁管）（φ...mm)</t>
  </si>
  <si>
    <t>510-2-b</t>
  </si>
  <si>
    <t>消防洞室防火门</t>
  </si>
  <si>
    <t>510-2-c</t>
  </si>
  <si>
    <t>集水池</t>
  </si>
  <si>
    <t>510-2-d</t>
  </si>
  <si>
    <t>蓄水池</t>
  </si>
  <si>
    <t>510-2-e</t>
  </si>
  <si>
    <t>泵房</t>
  </si>
  <si>
    <t>511-1</t>
  </si>
  <si>
    <t>其他</t>
  </si>
  <si>
    <t>511-1-a</t>
  </si>
  <si>
    <t>农村饮水用水源改造</t>
  </si>
  <si>
    <r>
      <rPr>
        <b/>
        <sz val="10"/>
        <rFont val="宋体"/>
        <family val="3"/>
        <charset val="134"/>
      </rPr>
      <t>第</t>
    </r>
    <r>
      <rPr>
        <b/>
        <sz val="10"/>
        <rFont val="Arial"/>
        <family val="2"/>
      </rPr>
      <t>500</t>
    </r>
    <r>
      <rPr>
        <b/>
        <sz val="10"/>
        <rFont val="宋体"/>
        <family val="3"/>
        <charset val="134"/>
      </rPr>
      <t>章合计    人民币</t>
    </r>
  </si>
  <si>
    <t>1.编制交通组织方案，媒体发布公告及宣传；
2.交通安全设施的购买、准备、运输、摆放、移
动、维护、拆除或撤回；
3.工程施工可能会对道路交通产生干扰时，设置必要的路障、警告信号等；
4.保护原有交通设施；
5.配合交通管制方案实施的协管人员
其它：如交巡警要求由第三方专业机构编制交通组织方案，该项费用由甲方承担</t>
    <phoneticPr fontId="98" type="noConversion"/>
  </si>
  <si>
    <r>
      <t xml:space="preserve">1.钢筋的保护、储存及除锈；
2.钢筋整直、接头；
3.钢筋截断、弯曲；
4.钢筋安设、支承及固定
其它：
1.为完成合格工程的其他内容费用（包括但不限于人工费、设备费、材料费、管理费、甲供材的二次转运及装卸费、税金、利润、工序不连续、施工地点分散、外部临时阻工等风险费用、钢材（含钢筋）上下车费及其他）。
</t>
    </r>
    <r>
      <rPr>
        <b/>
        <sz val="10"/>
        <rFont val="宋体"/>
        <family val="3"/>
        <charset val="134"/>
      </rPr>
      <t>2.甲供钢筋</t>
    </r>
    <phoneticPr fontId="98" type="noConversion"/>
  </si>
  <si>
    <r>
      <t xml:space="preserve">1.放样、钻孔；
2.钢筋制作、安装；
3.锚固、养护；
4.场地清理
其它：
1.为完成合格工程的其他内容费用（包括但不限于人工费、设备费、材料费、管理费、甲供材的二次转运及装卸费、税金、利润、工序不连续、施工地点分散、外部临时阻工等风险费用、钢材（含钢筋）上下车费及其他）。
</t>
    </r>
    <r>
      <rPr>
        <b/>
        <sz val="10"/>
        <rFont val="宋体"/>
        <family val="3"/>
        <charset val="134"/>
      </rPr>
      <t>2.甲供钢筋</t>
    </r>
    <phoneticPr fontId="98" type="noConversion"/>
  </si>
  <si>
    <r>
      <t xml:space="preserve">1.钢筋的保护、储存及除锈；
2.钢筋整直、接头；
3.钢筋截断、弯曲；
4.钢筋安设、支承及固定；
5.场地清理
其它：
1.为完成合格工程的其他内容费用（包括但不限于人工费、设备费、材料费、管理费、甲供材的二次转运及装卸费、税金、利润、工序不连续、施工地点分散、外部临时阻工等风险费用、钢材（含钢筋）上下车费及其他）。
</t>
    </r>
    <r>
      <rPr>
        <b/>
        <sz val="10"/>
        <rFont val="宋体"/>
        <family val="3"/>
        <charset val="134"/>
      </rPr>
      <t>2.甲供钢筋</t>
    </r>
    <phoneticPr fontId="98" type="noConversion"/>
  </si>
  <si>
    <r>
      <t xml:space="preserve">1.核对槽口尺寸，调整开口量；
2.支架、模板制作安装及拆除；
3.浇筑槽口混凝土；
4.初期养护；
5.场地清理
其它：
1.为完成合格工程的其他内容费用（包括但不限于人工费、设备费、材料费、管理费、甲供材的二次转运及装卸费、税金、利润、工序不连续、施工地点分散、外部临时阻工等风险费用、钢材（含钢筋）上下车费及其他）。
</t>
    </r>
    <r>
      <rPr>
        <b/>
        <sz val="10"/>
        <rFont val="宋体"/>
        <family val="3"/>
        <charset val="134"/>
      </rPr>
      <t>2.甲供混凝土。</t>
    </r>
    <phoneticPr fontId="98" type="noConversion"/>
  </si>
  <si>
    <r>
      <t xml:space="preserve">1.接触面处理；
2.模板制作、安装、拆除；
3.混凝土拌和、运输、浇筑、养生；
4.场地清理
其它：
1.为完成合格工程的其他内容费用（包括但不限于人工费、设备费、材料费、管理费、甲供材的二次转运及装卸费、税金、利润、工序不连续、施工地点分散、外部临时阻工等风险费用、钢材（含钢筋）上下车费及其他）。
</t>
    </r>
    <r>
      <rPr>
        <b/>
        <sz val="10"/>
        <rFont val="宋体"/>
        <family val="3"/>
        <charset val="134"/>
      </rPr>
      <t>2.甲供混凝土</t>
    </r>
    <phoneticPr fontId="98" type="noConversion"/>
  </si>
  <si>
    <r>
      <t xml:space="preserve">1.基底检查；
2.接触面处理；
3.模板制作、安装、拆除；
4.混凝土拌和、运输、浇筑、养生；
5.场地清理
其它：
1.为完成合格工程的其他内容费用（包括但不限于人工费、设备费、材料费、管理费、甲供材的二次转运及装卸费、税金、利润、工序不连续、施工地点分散、外部临时阻工等风险费用、钢材（含钢筋）上下车费及其他）。
</t>
    </r>
    <r>
      <rPr>
        <b/>
        <sz val="10"/>
        <rFont val="宋体"/>
        <family val="3"/>
        <charset val="134"/>
      </rPr>
      <t>2.甲供混凝土</t>
    </r>
    <phoneticPr fontId="98" type="noConversion"/>
  </si>
  <si>
    <r>
      <t xml:space="preserve">1.盖板预制、运输、安装；
2.场地清理
其它：
1.为完成合格工程的其他内容费用（包括但不限于人工费、设备费、材料费、管理费、甲供材的二次转运及装卸费、税金、利润、工序不连续、施工地点分散、外部临时阻工等风险费用、钢材（含钢筋）上下车费及其他）。
</t>
    </r>
    <r>
      <rPr>
        <b/>
        <sz val="10"/>
        <rFont val="宋体"/>
        <family val="3"/>
        <charset val="134"/>
      </rPr>
      <t>2.甲供混凝土</t>
    </r>
    <phoneticPr fontId="98" type="noConversion"/>
  </si>
  <si>
    <r>
      <t xml:space="preserve">1.接触面清理；
2.地基平整夯实，排水设施断面补挖；
3.铺设垫层；
4.模板制作、安装、拆除；
5.预制件预制、运输、装卸；
6.预制件安装、养生；
7.回填夯实
其它：
1.为完成合格工程的其他内容费用（包括但不限于人工费、设备费、材料费、管理费、甲供材的二次转运及装卸费、税金、利润、工序不连续、施工地点分散、外部临时阻工等风险费用、钢材（含钢筋）上下车费及其他）。
</t>
    </r>
    <r>
      <rPr>
        <b/>
        <sz val="10"/>
        <rFont val="宋体"/>
        <family val="3"/>
        <charset val="134"/>
      </rPr>
      <t>2.甲供混凝土</t>
    </r>
    <phoneticPr fontId="98" type="noConversion"/>
  </si>
  <si>
    <r>
      <t xml:space="preserve">1.清理下承层、湿润；
2.拌和、运输；
3.摊铺、抹平；
4.压（刻）纹；
5.胀缝制作安装；
6.切缝、灌缝；
7.养生；
8.场地清理
其它：
1.为完成合格工程的其他内容费用（包括但不限于人工费、设备费、材料费、管理费、甲供材的二次转运及装卸费、税金、利润、工序不连续、施工地点分散、外部临时阻工等风险费用、钢材（含钢筋）上下车费及其他）。
</t>
    </r>
    <r>
      <rPr>
        <b/>
        <sz val="10"/>
        <rFont val="宋体"/>
        <family val="3"/>
        <charset val="134"/>
      </rPr>
      <t>2.甲供混凝土</t>
    </r>
    <phoneticPr fontId="98" type="noConversion"/>
  </si>
  <si>
    <r>
      <t xml:space="preserve">1.核对槽口尺寸，调整开口量；
2. 支架、模板制作安装及拆除；
3.浇筑槽口混凝土；
4.初期养护；
5.场地清理
其它：
1.为完成合格工程的其他内容费用（包括但不限于人工费、设备费、材料费、管理费、甲供材的二次转运及装卸费、税金、利润、工序不连续、施工地点分散、外部临时阻工等风险费用、钢材（含钢筋）上下车费及其他）。
</t>
    </r>
    <r>
      <rPr>
        <b/>
        <sz val="10"/>
        <rFont val="宋体"/>
        <family val="3"/>
        <charset val="134"/>
      </rPr>
      <t>2.甲供混凝土</t>
    </r>
    <phoneticPr fontId="98" type="noConversion"/>
  </si>
  <si>
    <r>
      <t xml:space="preserve">1.定位划线、缝口凿毛、洗刷、表面清理，缝内灰尘吹清；
2.注浆嘴压贴，压气（水）检查，压力注浆，养生，封闭
其它：
1.为完成合格工程的其他内容费用（包括但不限于人工费、设备费、材料费、管理费、甲供材的二次转运及装卸费、税金、利润、工序不连续、施工地点分散、外部临时阻工等风险费用、钢材（含钢筋）上下车费及其他）。
</t>
    </r>
    <r>
      <rPr>
        <b/>
        <sz val="10"/>
        <rFont val="宋体"/>
        <family val="3"/>
        <charset val="134"/>
      </rPr>
      <t>2.甲供胶类材料（不含底座、注胶器辅材）</t>
    </r>
    <phoneticPr fontId="98" type="noConversion"/>
  </si>
  <si>
    <r>
      <t xml:space="preserve">1.定位划线、缝口凿毛、洗刷、表面清理，缝内灰尘吹清；
2.钻孔，注浆管安装，压气（水）检查，压力注浆，养生，封孔 
其它：
1.为完成合格工程的其他内容费用（包括但不限于人工费、设备费、材料费、管理费、甲供材的二次转运及装卸费、税金、利润、工序不连续、施工地点分散、外部临时阻工等风险费用、钢材（含钢筋）上下车费及其他）。
</t>
    </r>
    <r>
      <rPr>
        <b/>
        <sz val="10"/>
        <rFont val="宋体"/>
        <family val="3"/>
        <charset val="134"/>
      </rPr>
      <t>2.甲供胶类材料（不含底座、注胶器辅材）</t>
    </r>
    <phoneticPr fontId="98" type="noConversion"/>
  </si>
  <si>
    <r>
      <t xml:space="preserve">1.定位划线、缝口凿毛、洗刷、表面清理，缝内灰尘吹清；
2.钻孔，注浆管安装，压气（水）检查，压力注浆，养生，封孔
其它：
1.为完成合格工程的其他内容费用（包括但不限于人工费、设备费、材料费、管理费、甲供材的二次转运及装卸费、税金、利润、工序不连续、施工地点分散、外部临时阻工等风险费用、钢材（含钢筋）上下车费及其他）。
</t>
    </r>
    <r>
      <rPr>
        <b/>
        <sz val="10"/>
        <rFont val="宋体"/>
        <family val="3"/>
        <charset val="134"/>
      </rPr>
      <t>2.甲供胶类材料（不含底座、注胶器辅材）</t>
    </r>
    <phoneticPr fontId="98" type="noConversion"/>
  </si>
  <si>
    <r>
      <rPr>
        <sz val="10"/>
        <rFont val="Calibri"/>
        <family val="2"/>
      </rPr>
      <t>Φ</t>
    </r>
    <r>
      <rPr>
        <sz val="10"/>
        <rFont val="宋体"/>
        <family val="3"/>
        <charset val="134"/>
      </rPr>
      <t>28普通砂浆锚杆</t>
    </r>
  </si>
  <si>
    <r>
      <t xml:space="preserve">1.清理下承层、湿润；
2.拌和、运输；
3.摊铺、抹平；
4.压（刻）纹；
5.胀缝制作安装；
6.切缝、灌缝；
7.养生；
8.场地清理
其它：
1.为完成合格工程的其他内容费用（包括但不限于人工费、设备费、材料费、管理费、甲供材的二次转运及装卸费、税金、利润、工序不连续、施工地点分散、外部临时阻工等风险费用、钢材（含钢筋）上下车费及其他）。
</t>
    </r>
    <r>
      <rPr>
        <b/>
        <sz val="10"/>
        <rFont val="宋体"/>
        <family val="3"/>
        <charset val="134"/>
      </rPr>
      <t>2.甲供混凝土</t>
    </r>
    <phoneticPr fontId="98" type="noConversion"/>
  </si>
  <si>
    <t>重庆高速公路集团有限公司东北营运分公司隧道病害处治施工项目劳务分包（合同包一）
投标报价工程量清单</t>
    <phoneticPr fontId="98" type="noConversion"/>
  </si>
  <si>
    <t>上限单价</t>
    <phoneticPr fontId="98" type="noConversion"/>
  </si>
  <si>
    <t>上限合价</t>
    <phoneticPr fontId="98" type="noConversion"/>
  </si>
  <si>
    <t>投标单价</t>
    <phoneticPr fontId="98" type="noConversion"/>
  </si>
  <si>
    <t>投标合价</t>
    <phoneticPr fontId="98" type="noConversion"/>
  </si>
  <si>
    <t>单位工程上限金额</t>
    <phoneticPr fontId="98" type="noConversion"/>
  </si>
  <si>
    <t>劳务标包上限金额</t>
    <phoneticPr fontId="98" type="noConversion"/>
  </si>
  <si>
    <t>单位工程投标金额</t>
    <phoneticPr fontId="98" type="noConversion"/>
  </si>
  <si>
    <t>劳务标包投标金额</t>
    <phoneticPr fontId="98" type="noConversion"/>
  </si>
  <si>
    <t>1.按工程量各章清单招标限价合计金额（不含建筑工程一切险、第三者责任险及安全生产费）乘以1.5%安全生产费费率计算，以总额计量；
2.根据国家和重庆市有关规定，与安全相关但不列入安全生产费用的支出，含在相关工程子目单价或总额价内，不另行计量</t>
    <phoneticPr fontId="98" type="noConversion"/>
  </si>
  <si>
    <t>驻地建设（租赁驻地）</t>
    <phoneticPr fontId="98" type="noConversion"/>
  </si>
  <si>
    <t>重庆高速公路集团有限公司东北营运分公司隧道病害处治施工项目劳务分包（合同包一）
投标报价汇总表</t>
    <phoneticPr fontId="98" type="noConversion"/>
  </si>
  <si>
    <t>合同段:重庆高速公路集团有限公司东北营运分公司隧道病害处治施工项目劳务分包（合同包一）</t>
    <phoneticPr fontId="98" type="noConversion"/>
  </si>
  <si>
    <t>1.施工车辆从养护驻地到养护现场往返经过收费公路所产生的通行费用；
2.不包括外购的材料、构件、商品混合料运输车辆（应计入材料单价中）进出本养护路段所缴纳的通行费用，也不包括工地转移费中通过其他收费路段所缴纳的通行费。实行全路段封闭施工的路段及不需要缴纳通行费的项目不计取该项费用。</t>
    <phoneticPr fontId="98" type="noConversion"/>
  </si>
  <si>
    <r>
      <rPr>
        <sz val="10"/>
        <rFont val="Calibri"/>
        <family val="2"/>
      </rPr>
      <t>Φ</t>
    </r>
    <r>
      <rPr>
        <sz val="10"/>
        <rFont val="宋体"/>
        <family val="3"/>
        <charset val="134"/>
      </rPr>
      <t>48袖阀管</t>
    </r>
    <phoneticPr fontId="98" type="noConversion"/>
  </si>
  <si>
    <t>M30抗硫酸盐水泥砂浆</t>
    <phoneticPr fontId="9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</si>
</sst>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1" formatCode="_ * #,##0_ ;_ * \-#,##0_ ;_ * &quot;-&quot;_ ;_ @_ "/>
    <numFmt numFmtId="43" formatCode="_ * #,##0.00_ ;_ * \-#,##0.00_ ;_ * &quot;-&quot;??_ ;_ @_ "/>
    <numFmt numFmtId="176" formatCode="yy\.mm\.dd"/>
    <numFmt numFmtId="177" formatCode="#,##0.00_);[Red]\(#,##0.00\)"/>
    <numFmt numFmtId="178" formatCode="0.0"/>
    <numFmt numFmtId="179" formatCode="\$#,##0;\(\$#,##0\)"/>
    <numFmt numFmtId="180" formatCode="0.0_);[Red]\(0.0\)"/>
    <numFmt numFmtId="181" formatCode="_ \¥* #,##0.00_ ;_ \¥* \-#,##0.00_ ;_ \¥* &quot;-&quot;??_ ;_ @_ "/>
    <numFmt numFmtId="182" formatCode="_(\$* #,##0_);_(\$* \(#,##0\);_(\$* &quot;-&quot;_);_(@_)"/>
    <numFmt numFmtId="183" formatCode="#,##0;\-#,##0;&quot;-&quot;"/>
    <numFmt numFmtId="184" formatCode="0.00_ "/>
    <numFmt numFmtId="185" formatCode="##&quot;元&quot;"/>
    <numFmt numFmtId="186" formatCode="0;_愀"/>
    <numFmt numFmtId="187" formatCode="0_ "/>
    <numFmt numFmtId="188" formatCode="0.0_ "/>
    <numFmt numFmtId="189" formatCode="_-* #,##0.00_-;\-* #,##0.00_-;_-* &quot;-&quot;??_-;_-@_-"/>
    <numFmt numFmtId="190" formatCode="0_);\(0\)"/>
    <numFmt numFmtId="191" formatCode="0.0%"/>
    <numFmt numFmtId="192" formatCode="_ * #,##0_ ;_ * \-#,##0_ ;_ * &quot;-&quot;??_ ;_ @_ "/>
    <numFmt numFmtId="193" formatCode="0.00_);[Red]\(0.00\)"/>
    <numFmt numFmtId="194" formatCode="0_);[Red]\(0\)"/>
    <numFmt numFmtId="195" formatCode="#,##0.000_ "/>
    <numFmt numFmtId="196" formatCode="0.000_ "/>
    <numFmt numFmtId="197" formatCode="0.000"/>
    <numFmt numFmtId="198" formatCode="0.000_);[Red]\(0.000\)"/>
  </numFmts>
  <fonts count="105">
    <font>
      <sz val="10"/>
      <name val="Arial"/>
      <charset val="134"/>
    </font>
    <font>
      <sz val="20"/>
      <color indexed="8"/>
      <name val="宋体"/>
      <family val="3"/>
      <charset val="134"/>
    </font>
    <font>
      <sz val="10"/>
      <color indexed="8"/>
      <name val="宋体"/>
      <family val="3"/>
      <charset val="134"/>
    </font>
    <font>
      <sz val="10"/>
      <name val="宋体"/>
      <family val="3"/>
      <charset val="134"/>
    </font>
    <font>
      <b/>
      <sz val="10"/>
      <name val="宋体"/>
      <family val="3"/>
      <charset val="134"/>
    </font>
    <font>
      <b/>
      <sz val="10"/>
      <color indexed="8"/>
      <name val="宋体"/>
      <family val="3"/>
      <charset val="134"/>
    </font>
    <font>
      <sz val="10"/>
      <color indexed="10"/>
      <name val="宋体"/>
      <family val="3"/>
      <charset val="134"/>
    </font>
    <font>
      <sz val="9"/>
      <name val="宋体"/>
      <family val="3"/>
      <charset val="134"/>
    </font>
    <font>
      <b/>
      <sz val="10"/>
      <name val="Arial"/>
      <family val="2"/>
    </font>
    <font>
      <sz val="11"/>
      <name val="宋体"/>
      <family val="3"/>
      <charset val="134"/>
    </font>
    <font>
      <sz val="11"/>
      <color indexed="8"/>
      <name val="宋体"/>
      <family val="3"/>
      <charset val="134"/>
    </font>
    <font>
      <sz val="8"/>
      <name val="宋体"/>
      <family val="3"/>
      <charset val="134"/>
    </font>
    <font>
      <b/>
      <sz val="11"/>
      <name val="宋体"/>
      <family val="3"/>
      <charset val="134"/>
    </font>
    <font>
      <b/>
      <sz val="16"/>
      <color indexed="8"/>
      <name val="宋体"/>
      <family val="3"/>
      <charset val="134"/>
    </font>
    <font>
      <sz val="10"/>
      <name val="宋体"/>
      <family val="3"/>
      <charset val="134"/>
      <scheme val="minor"/>
    </font>
    <font>
      <b/>
      <sz val="16"/>
      <color indexed="8"/>
      <name val="宋体"/>
      <family val="3"/>
      <charset val="134"/>
      <scheme val="minor"/>
    </font>
    <font>
      <b/>
      <sz val="16"/>
      <name val="宋体"/>
      <family val="3"/>
      <charset val="134"/>
      <scheme val="minor"/>
    </font>
    <font>
      <b/>
      <sz val="10"/>
      <color indexed="8"/>
      <name val="宋体"/>
      <family val="3"/>
      <charset val="134"/>
      <scheme val="minor"/>
    </font>
    <font>
      <b/>
      <sz val="10"/>
      <name val="宋体"/>
      <family val="3"/>
      <charset val="134"/>
      <scheme val="minor"/>
    </font>
    <font>
      <sz val="10"/>
      <color indexed="8"/>
      <name val="宋体"/>
      <family val="3"/>
      <charset val="134"/>
      <scheme val="minor"/>
    </font>
    <font>
      <sz val="10"/>
      <name val="Arial Narrow"/>
      <family val="2"/>
    </font>
    <font>
      <sz val="11"/>
      <color indexed="8"/>
      <name val="宋体"/>
      <family val="3"/>
      <charset val="134"/>
      <scheme val="minor"/>
    </font>
    <font>
      <sz val="11"/>
      <name val="宋体"/>
      <family val="3"/>
      <charset val="134"/>
      <scheme val="minor"/>
    </font>
    <font>
      <sz val="10"/>
      <color theme="1"/>
      <name val="宋体"/>
      <family val="3"/>
      <charset val="134"/>
      <scheme val="minor"/>
    </font>
    <font>
      <b/>
      <sz val="16"/>
      <color indexed="8"/>
      <name val="黑体"/>
      <family val="3"/>
      <charset val="134"/>
    </font>
    <font>
      <b/>
      <sz val="12"/>
      <color indexed="8"/>
      <name val="宋体"/>
      <family val="3"/>
      <charset val="134"/>
    </font>
    <font>
      <b/>
      <sz val="12"/>
      <color indexed="8"/>
      <name val="Arial Narrow"/>
      <family val="2"/>
    </font>
    <font>
      <b/>
      <sz val="11"/>
      <color indexed="8"/>
      <name val="Arial Narrow"/>
      <family val="2"/>
    </font>
    <font>
      <sz val="12"/>
      <color indexed="8"/>
      <name val="宋体"/>
      <family val="3"/>
      <charset val="134"/>
    </font>
    <font>
      <sz val="12"/>
      <color indexed="8"/>
      <name val="Arial Narrow"/>
      <family val="2"/>
    </font>
    <font>
      <sz val="11"/>
      <color indexed="8"/>
      <name val="Arial Narrow"/>
      <family val="2"/>
    </font>
    <font>
      <b/>
      <u/>
      <sz val="14"/>
      <color theme="1"/>
      <name val="仿宋"/>
      <family val="3"/>
      <charset val="134"/>
    </font>
    <font>
      <sz val="12"/>
      <color theme="1"/>
      <name val="仿宋"/>
      <family val="3"/>
      <charset val="134"/>
    </font>
    <font>
      <sz val="11"/>
      <color theme="1"/>
      <name val="宋体"/>
      <family val="3"/>
      <charset val="134"/>
      <scheme val="minor"/>
    </font>
    <font>
      <sz val="10"/>
      <color rgb="FF000000"/>
      <name val="宋体"/>
      <family val="3"/>
      <charset val="134"/>
    </font>
    <font>
      <sz val="10"/>
      <color rgb="FFFF0000"/>
      <name val="宋体"/>
      <family val="3"/>
      <charset val="134"/>
    </font>
    <font>
      <sz val="10"/>
      <name val="黑体"/>
      <family val="3"/>
      <charset val="134"/>
    </font>
    <font>
      <sz val="10"/>
      <color theme="0"/>
      <name val="宋体"/>
      <family val="3"/>
      <charset val="134"/>
    </font>
    <font>
      <sz val="10"/>
      <color theme="0"/>
      <name val="Arial"/>
      <family val="2"/>
    </font>
    <font>
      <b/>
      <sz val="14"/>
      <name val="宋体"/>
      <family val="3"/>
      <charset val="134"/>
    </font>
    <font>
      <b/>
      <sz val="9"/>
      <name val="宋体"/>
      <family val="3"/>
      <charset val="134"/>
    </font>
    <font>
      <sz val="9"/>
      <name val="宋体"/>
      <family val="3"/>
      <charset val="134"/>
      <scheme val="minor"/>
    </font>
    <font>
      <b/>
      <sz val="14"/>
      <color theme="0"/>
      <name val="宋体"/>
      <family val="3"/>
      <charset val="134"/>
    </font>
    <font>
      <b/>
      <sz val="9"/>
      <color theme="0"/>
      <name val="宋体"/>
      <family val="3"/>
      <charset val="134"/>
    </font>
    <font>
      <b/>
      <sz val="9"/>
      <color indexed="10"/>
      <name val="宋体"/>
      <family val="3"/>
      <charset val="134"/>
    </font>
    <font>
      <sz val="9"/>
      <color indexed="10"/>
      <name val="宋体"/>
      <family val="3"/>
      <charset val="134"/>
    </font>
    <font>
      <sz val="9"/>
      <color indexed="8"/>
      <name val="宋体"/>
      <family val="3"/>
      <charset val="134"/>
    </font>
    <font>
      <sz val="9"/>
      <color theme="0"/>
      <name val="宋体"/>
      <family val="3"/>
      <charset val="134"/>
    </font>
    <font>
      <b/>
      <sz val="12"/>
      <color theme="0"/>
      <name val="宋体"/>
      <family val="3"/>
      <charset val="134"/>
    </font>
    <font>
      <sz val="9"/>
      <color rgb="FFFF0000"/>
      <name val="宋体"/>
      <family val="3"/>
      <charset val="134"/>
    </font>
    <font>
      <b/>
      <sz val="20"/>
      <name val="宋体"/>
      <family val="3"/>
      <charset val="134"/>
    </font>
    <font>
      <sz val="12"/>
      <name val="宋体"/>
      <family val="3"/>
      <charset val="134"/>
    </font>
    <font>
      <b/>
      <sz val="16"/>
      <name val="黑体"/>
      <family val="3"/>
      <charset val="134"/>
    </font>
    <font>
      <b/>
      <sz val="10"/>
      <name val="Arial Narrow"/>
      <family val="2"/>
    </font>
    <font>
      <sz val="11"/>
      <color indexed="62"/>
      <name val="宋体"/>
      <family val="3"/>
      <charset val="134"/>
    </font>
    <font>
      <sz val="12"/>
      <color indexed="9"/>
      <name val="宋体"/>
      <family val="3"/>
      <charset val="134"/>
    </font>
    <font>
      <b/>
      <sz val="11"/>
      <color indexed="52"/>
      <name val="宋体"/>
      <family val="3"/>
      <charset val="134"/>
    </font>
    <font>
      <b/>
      <sz val="12"/>
      <color indexed="8"/>
      <name val="楷体_GB2312"/>
      <charset val="134"/>
    </font>
    <font>
      <b/>
      <sz val="11"/>
      <color indexed="63"/>
      <name val="宋体"/>
      <family val="3"/>
      <charset val="134"/>
    </font>
    <font>
      <sz val="8"/>
      <name val="Arial"/>
      <family val="2"/>
    </font>
    <font>
      <sz val="12"/>
      <color indexed="62"/>
      <name val="楷体_GB2312"/>
      <charset val="134"/>
    </font>
    <font>
      <sz val="11"/>
      <color indexed="20"/>
      <name val="宋体"/>
      <family val="3"/>
      <charset val="134"/>
    </font>
    <font>
      <b/>
      <sz val="12"/>
      <color indexed="52"/>
      <name val="楷体_GB2312"/>
      <charset val="134"/>
    </font>
    <font>
      <b/>
      <sz val="11"/>
      <color indexed="8"/>
      <name val="宋体"/>
      <family val="3"/>
      <charset val="134"/>
    </font>
    <font>
      <sz val="12"/>
      <name val="Arial"/>
      <family val="2"/>
    </font>
    <font>
      <b/>
      <sz val="12"/>
      <color indexed="63"/>
      <name val="楷体_GB2312"/>
      <charset val="134"/>
    </font>
    <font>
      <sz val="11"/>
      <color indexed="9"/>
      <name val="宋体"/>
      <family val="3"/>
      <charset val="134"/>
    </font>
    <font>
      <b/>
      <sz val="12"/>
      <name val="Arial"/>
      <family val="2"/>
    </font>
    <font>
      <sz val="11"/>
      <color indexed="17"/>
      <name val="宋体"/>
      <family val="3"/>
      <charset val="134"/>
    </font>
    <font>
      <sz val="12"/>
      <color indexed="9"/>
      <name val="楷体_GB2312"/>
      <charset val="134"/>
    </font>
    <font>
      <sz val="12"/>
      <name val="Times New Roman"/>
      <family val="1"/>
    </font>
    <font>
      <sz val="12"/>
      <color indexed="8"/>
      <name val="楷体_GB2312"/>
      <charset val="134"/>
    </font>
    <font>
      <b/>
      <sz val="10"/>
      <name val="MS Sans Serif"/>
      <family val="1"/>
    </font>
    <font>
      <sz val="10"/>
      <name val="Helv"/>
      <family val="2"/>
    </font>
    <font>
      <b/>
      <sz val="11"/>
      <color indexed="56"/>
      <name val="宋体"/>
      <family val="3"/>
      <charset val="134"/>
    </font>
    <font>
      <b/>
      <sz val="12"/>
      <name val="宋体"/>
      <family val="3"/>
      <charset val="134"/>
    </font>
    <font>
      <sz val="12"/>
      <color indexed="17"/>
      <name val="楷体_GB2312"/>
      <charset val="134"/>
    </font>
    <font>
      <sz val="10"/>
      <name val="Geneva"/>
      <family val="1"/>
    </font>
    <font>
      <b/>
      <sz val="13"/>
      <color indexed="56"/>
      <name val="宋体"/>
      <family val="3"/>
      <charset val="134"/>
    </font>
    <font>
      <sz val="12"/>
      <name val="smartSimSun"/>
      <family val="3"/>
      <charset val="134"/>
    </font>
    <font>
      <sz val="10"/>
      <name val="楷体"/>
      <family val="3"/>
      <charset val="134"/>
    </font>
    <font>
      <sz val="12"/>
      <color indexed="20"/>
      <name val="楷体_GB2312"/>
      <charset val="134"/>
    </font>
    <font>
      <sz val="11"/>
      <color indexed="10"/>
      <name val="宋体"/>
      <family val="3"/>
      <charset val="134"/>
    </font>
    <font>
      <sz val="11"/>
      <color indexed="25"/>
      <name val="宋体"/>
      <family val="3"/>
      <charset val="134"/>
    </font>
    <font>
      <sz val="12"/>
      <color indexed="17"/>
      <name val="宋体"/>
      <family val="3"/>
      <charset val="134"/>
    </font>
    <font>
      <b/>
      <sz val="18"/>
      <name val="Arial"/>
      <family val="2"/>
    </font>
    <font>
      <sz val="10.5"/>
      <color indexed="20"/>
      <name val="宋体"/>
      <family val="3"/>
      <charset val="134"/>
    </font>
    <font>
      <sz val="10"/>
      <color indexed="8"/>
      <name val="楷体_GB2312"/>
      <charset val="134"/>
    </font>
    <font>
      <b/>
      <sz val="14"/>
      <name val="楷体"/>
      <family val="3"/>
      <charset val="134"/>
    </font>
    <font>
      <sz val="11"/>
      <color indexed="60"/>
      <name val="宋体"/>
      <family val="3"/>
      <charset val="134"/>
    </font>
    <font>
      <b/>
      <sz val="15"/>
      <color indexed="56"/>
      <name val="宋体"/>
      <family val="3"/>
      <charset val="134"/>
    </font>
    <font>
      <sz val="8"/>
      <name val="Times New Roman"/>
      <family val="1"/>
    </font>
    <font>
      <sz val="10"/>
      <color indexed="8"/>
      <name val="Arial"/>
      <family val="2"/>
    </font>
    <font>
      <sz val="10"/>
      <name val="Times New Roman"/>
      <family val="1"/>
    </font>
    <font>
      <i/>
      <sz val="12"/>
      <color indexed="23"/>
      <name val="楷体_GB2312"/>
      <charset val="134"/>
    </font>
    <font>
      <vertAlign val="subscript"/>
      <sz val="10"/>
      <name val="宋体"/>
      <family val="3"/>
      <charset val="134"/>
    </font>
    <font>
      <b/>
      <sz val="11"/>
      <color indexed="10"/>
      <name val="宋体"/>
      <family val="3"/>
      <charset val="134"/>
    </font>
    <font>
      <sz val="10"/>
      <name val="Arial"/>
      <family val="2"/>
    </font>
    <font>
      <sz val="9"/>
      <name val="Arial"/>
      <family val="2"/>
    </font>
    <font>
      <sz val="10"/>
      <name val="方正仿宋_GBK"/>
      <charset val="134"/>
    </font>
    <font>
      <sz val="10"/>
      <name val="Calibri"/>
      <family val="2"/>
    </font>
    <font>
      <sz val="14"/>
      <name val="华文仿宋"/>
      <family val="3"/>
      <charset val="134"/>
    </font>
    <font>
      <sz val="14"/>
      <name val="Arial Narrow"/>
      <family val="2"/>
    </font>
    <font>
      <sz val="14"/>
      <name val="宋体"/>
      <family val="3"/>
      <charset val="134"/>
    </font>
    <font>
      <sz val="10"/>
      <name val="宋体"/>
      <family val="2"/>
      <charset val="134"/>
    </font>
  </fonts>
  <fills count="32">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indexed="49"/>
        <bgColor indexed="64"/>
      </patternFill>
    </fill>
    <fill>
      <patternFill patternType="solid">
        <fgColor indexed="31"/>
        <bgColor indexed="64"/>
      </patternFill>
    </fill>
    <fill>
      <patternFill patternType="solid">
        <fgColor indexed="47"/>
        <bgColor indexed="64"/>
      </patternFill>
    </fill>
    <fill>
      <patternFill patternType="solid">
        <fgColor indexed="52"/>
        <bgColor indexed="64"/>
      </patternFill>
    </fill>
    <fill>
      <patternFill patternType="solid">
        <fgColor indexed="26"/>
        <bgColor indexed="64"/>
      </patternFill>
    </fill>
    <fill>
      <patternFill patternType="solid">
        <fgColor indexed="22"/>
        <bgColor indexed="64"/>
      </patternFill>
    </fill>
    <fill>
      <patternFill patternType="solid">
        <fgColor indexed="54"/>
        <bgColor indexed="64"/>
      </patternFill>
    </fill>
    <fill>
      <patternFill patternType="solid">
        <fgColor indexed="45"/>
        <bgColor indexed="64"/>
      </patternFill>
    </fill>
    <fill>
      <patternFill patternType="solid">
        <fgColor indexed="25"/>
        <bgColor indexed="64"/>
      </patternFill>
    </fill>
    <fill>
      <patternFill patternType="solid">
        <fgColor indexed="55"/>
        <bgColor indexed="64"/>
      </patternFill>
    </fill>
    <fill>
      <patternFill patternType="solid">
        <fgColor indexed="42"/>
        <bgColor indexed="64"/>
      </patternFill>
    </fill>
    <fill>
      <patternFill patternType="solid">
        <fgColor indexed="36"/>
        <bgColor indexed="64"/>
      </patternFill>
    </fill>
    <fill>
      <patternFill patternType="solid">
        <fgColor indexed="29"/>
        <bgColor indexed="64"/>
      </patternFill>
    </fill>
    <fill>
      <patternFill patternType="solid">
        <fgColor indexed="44"/>
        <bgColor indexed="64"/>
      </patternFill>
    </fill>
    <fill>
      <patternFill patternType="solid">
        <fgColor indexed="46"/>
        <bgColor indexed="64"/>
      </patternFill>
    </fill>
    <fill>
      <patternFill patternType="solid">
        <fgColor indexed="11"/>
        <bgColor indexed="64"/>
      </patternFill>
    </fill>
    <fill>
      <patternFill patternType="solid">
        <fgColor indexed="27"/>
        <bgColor indexed="64"/>
      </patternFill>
    </fill>
    <fill>
      <patternFill patternType="solid">
        <fgColor indexed="62"/>
        <bgColor indexed="64"/>
      </patternFill>
    </fill>
    <fill>
      <patternFill patternType="solid">
        <fgColor indexed="10"/>
        <bgColor indexed="64"/>
      </patternFill>
    </fill>
    <fill>
      <patternFill patternType="solid">
        <fgColor indexed="43"/>
        <bgColor indexed="64"/>
      </patternFill>
    </fill>
    <fill>
      <patternFill patternType="solid">
        <fgColor indexed="30"/>
        <bgColor indexed="64"/>
      </patternFill>
    </fill>
    <fill>
      <patternFill patternType="solid">
        <fgColor indexed="9"/>
        <bgColor indexed="64"/>
      </patternFill>
    </fill>
    <fill>
      <patternFill patternType="mediumGray">
        <fgColor indexed="22"/>
      </patternFill>
    </fill>
    <fill>
      <patternFill patternType="solid">
        <fgColor indexed="51"/>
        <bgColor indexed="64"/>
      </patternFill>
    </fill>
    <fill>
      <patternFill patternType="solid">
        <fgColor indexed="24"/>
        <bgColor indexed="64"/>
      </patternFill>
    </fill>
    <fill>
      <patternFill patternType="solid">
        <fgColor indexed="57"/>
        <bgColor indexed="64"/>
      </patternFill>
    </fill>
    <fill>
      <patternFill patternType="solid">
        <fgColor indexed="53"/>
        <bgColor indexed="64"/>
      </patternFill>
    </fill>
  </fills>
  <borders count="52">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indexed="23"/>
      </top>
      <bottom style="thin">
        <color indexed="23"/>
      </bottom>
      <diagonal/>
    </border>
    <border>
      <left style="thin">
        <color auto="1"/>
      </left>
      <right style="thin">
        <color auto="1"/>
      </right>
      <top style="thin">
        <color indexed="23"/>
      </top>
      <bottom style="thin">
        <color auto="1"/>
      </bottom>
      <diagonal/>
    </border>
    <border>
      <left/>
      <right style="thin">
        <color auto="1"/>
      </right>
      <top/>
      <bottom/>
      <diagonal/>
    </border>
    <border>
      <left style="thin">
        <color auto="1"/>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indexed="23"/>
      </right>
      <top style="thin">
        <color auto="1"/>
      </top>
      <bottom style="thin">
        <color indexed="23"/>
      </bottom>
      <diagonal/>
    </border>
    <border>
      <left style="thin">
        <color indexed="23"/>
      </left>
      <right style="thin">
        <color auto="1"/>
      </right>
      <top style="thin">
        <color auto="1"/>
      </top>
      <bottom style="thin">
        <color indexed="23"/>
      </bottom>
      <diagonal/>
    </border>
    <border>
      <left style="thin">
        <color auto="1"/>
      </left>
      <right style="thin">
        <color auto="1"/>
      </right>
      <top style="thin">
        <color auto="1"/>
      </top>
      <bottom style="thin">
        <color indexed="23"/>
      </bottom>
      <diagonal/>
    </border>
    <border>
      <left style="medium">
        <color auto="1"/>
      </left>
      <right style="thin">
        <color indexed="23"/>
      </right>
      <top style="thin">
        <color indexed="23"/>
      </top>
      <bottom/>
      <diagonal/>
    </border>
    <border>
      <left style="thin">
        <color indexed="23"/>
      </left>
      <right style="thin">
        <color auto="1"/>
      </right>
      <top style="thin">
        <color indexed="23"/>
      </top>
      <bottom/>
      <diagonal/>
    </border>
    <border>
      <left style="thin">
        <color auto="1"/>
      </left>
      <right style="thin">
        <color auto="1"/>
      </right>
      <top style="thin">
        <color indexed="23"/>
      </top>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thin">
        <color indexed="23"/>
      </bottom>
      <diagonal/>
    </border>
    <border>
      <left style="thin">
        <color auto="1"/>
      </left>
      <right style="medium">
        <color auto="1"/>
      </right>
      <top style="thin">
        <color indexed="23"/>
      </top>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thin">
        <color auto="1"/>
      </left>
      <right/>
      <top style="thin">
        <color auto="1"/>
      </top>
      <bottom style="medium">
        <color auto="1"/>
      </bottom>
      <diagonal/>
    </border>
    <border>
      <left style="thin">
        <color auto="1"/>
      </left>
      <right style="medium">
        <color auto="1"/>
      </right>
      <top style="medium">
        <color auto="1"/>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double">
        <color auto="1"/>
      </bottom>
      <diagonal/>
    </border>
    <border>
      <left/>
      <right/>
      <top/>
      <bottom style="medium">
        <color auto="1"/>
      </bottom>
      <diagonal/>
    </border>
    <border>
      <left/>
      <right/>
      <top/>
      <bottom style="medium">
        <color indexed="30"/>
      </bottom>
      <diagonal/>
    </border>
    <border>
      <left/>
      <right/>
      <top/>
      <bottom style="thick">
        <color indexed="22"/>
      </bottom>
      <diagonal/>
    </border>
    <border>
      <left/>
      <right/>
      <top/>
      <bottom style="thick">
        <color indexed="62"/>
      </bottom>
      <diagonal/>
    </border>
    <border>
      <left/>
      <right/>
      <top style="medium">
        <color auto="1"/>
      </top>
      <bottom style="medium">
        <color auto="1"/>
      </bottom>
      <diagonal/>
    </border>
  </borders>
  <cellStyleXfs count="4119">
    <xf numFmtId="0" fontId="0" fillId="0" borderId="0"/>
    <xf numFmtId="0" fontId="54" fillId="7" borderId="42" applyNumberFormat="0" applyAlignment="0" applyProtection="0">
      <alignment vertical="center"/>
    </xf>
    <xf numFmtId="0" fontId="54" fillId="7" borderId="42" applyNumberFormat="0" applyAlignment="0" applyProtection="0">
      <alignment vertical="center"/>
    </xf>
    <xf numFmtId="0" fontId="55" fillId="8" borderId="0" applyNumberFormat="0" applyBorder="0" applyAlignment="0" applyProtection="0"/>
    <xf numFmtId="0" fontId="54" fillId="7" borderId="42" applyNumberFormat="0" applyAlignment="0" applyProtection="0">
      <alignment vertical="center"/>
    </xf>
    <xf numFmtId="0" fontId="51" fillId="9" borderId="43" applyNumberFormat="0" applyFont="0" applyAlignment="0" applyProtection="0">
      <alignment vertical="center"/>
    </xf>
    <xf numFmtId="0" fontId="51" fillId="9" borderId="43" applyNumberFormat="0" applyFont="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57" fillId="0" borderId="44" applyNumberFormat="0" applyFill="0" applyAlignment="0" applyProtection="0">
      <alignment vertical="center"/>
    </xf>
    <xf numFmtId="0" fontId="55" fillId="11" borderId="0" applyNumberFormat="0" applyBorder="0" applyAlignment="0" applyProtection="0"/>
    <xf numFmtId="0" fontId="58" fillId="10" borderId="45" applyNumberFormat="0" applyAlignment="0" applyProtection="0">
      <alignment vertical="center"/>
    </xf>
    <xf numFmtId="0" fontId="59" fillId="9" borderId="4" applyNumberFormat="0" applyBorder="0" applyAlignment="0" applyProtection="0"/>
    <xf numFmtId="0" fontId="54" fillId="7"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60" fillId="7" borderId="42" applyNumberFormat="0" applyAlignment="0" applyProtection="0">
      <alignment vertical="center"/>
    </xf>
    <xf numFmtId="0" fontId="28" fillId="10" borderId="0" applyNumberFormat="0" applyBorder="0" applyAlignment="0" applyProtection="0"/>
    <xf numFmtId="0" fontId="56" fillId="10" borderId="42" applyNumberFormat="0" applyAlignment="0" applyProtection="0">
      <alignment vertical="center"/>
    </xf>
    <xf numFmtId="0" fontId="60" fillId="7" borderId="42" applyNumberFormat="0" applyAlignment="0" applyProtection="0">
      <alignment vertical="center"/>
    </xf>
    <xf numFmtId="0" fontId="58" fillId="10" borderId="45" applyNumberFormat="0" applyAlignment="0" applyProtection="0">
      <alignment vertical="center"/>
    </xf>
    <xf numFmtId="0" fontId="59" fillId="9" borderId="4" applyNumberFormat="0" applyBorder="0" applyAlignment="0" applyProtection="0"/>
    <xf numFmtId="0" fontId="59" fillId="9" borderId="4" applyNumberFormat="0" applyBorder="0" applyAlignment="0" applyProtection="0"/>
    <xf numFmtId="0" fontId="60" fillId="7" borderId="42"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61" fillId="12" borderId="0" applyNumberFormat="0" applyBorder="0" applyAlignment="0" applyProtection="0">
      <alignment vertical="center"/>
    </xf>
    <xf numFmtId="0" fontId="58" fillId="10" borderId="45" applyNumberFormat="0" applyAlignment="0" applyProtection="0">
      <alignment vertical="center"/>
    </xf>
    <xf numFmtId="0" fontId="51" fillId="9" borderId="43" applyNumberFormat="0" applyFon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43" fontId="10" fillId="0" borderId="0" applyFont="0" applyFill="0" applyBorder="0" applyAlignment="0" applyProtection="0">
      <alignment vertical="center"/>
    </xf>
    <xf numFmtId="0" fontId="60" fillId="7" borderId="42" applyNumberFormat="0" applyAlignment="0" applyProtection="0">
      <alignment vertical="center"/>
    </xf>
    <xf numFmtId="0" fontId="60" fillId="7" borderId="42" applyNumberForma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62" fillId="10" borderId="42" applyNumberFormat="0" applyAlignment="0" applyProtection="0">
      <alignment vertical="center"/>
    </xf>
    <xf numFmtId="0" fontId="56" fillId="10" borderId="42" applyNumberFormat="0" applyAlignment="0" applyProtection="0">
      <alignment vertical="center"/>
    </xf>
    <xf numFmtId="0" fontId="55" fillId="13" borderId="0" applyNumberFormat="0" applyBorder="0" applyAlignment="0" applyProtection="0"/>
    <xf numFmtId="43" fontId="97" fillId="0" borderId="0" applyFont="0" applyFill="0" applyBorder="0" applyAlignment="0" applyProtection="0"/>
    <xf numFmtId="0" fontId="63" fillId="0" borderId="44" applyNumberFormat="0" applyFill="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63" fillId="0" borderId="44" applyNumberFormat="0" applyFill="0" applyAlignment="0" applyProtection="0">
      <alignment vertical="center"/>
    </xf>
    <xf numFmtId="0" fontId="64" fillId="0" borderId="46" applyProtection="0"/>
    <xf numFmtId="0" fontId="55" fillId="8" borderId="0"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60" fillId="7" borderId="42" applyNumberFormat="0" applyAlignment="0" applyProtection="0">
      <alignment vertical="center"/>
    </xf>
    <xf numFmtId="0" fontId="97" fillId="0" borderId="0"/>
    <xf numFmtId="0" fontId="59" fillId="9" borderId="4" applyNumberFormat="0" applyBorder="0" applyAlignment="0" applyProtection="0"/>
    <xf numFmtId="0" fontId="65" fillId="10" borderId="45" applyNumberFormat="0" applyAlignment="0" applyProtection="0">
      <alignment vertical="center"/>
    </xf>
    <xf numFmtId="0" fontId="56" fillId="10" borderId="42" applyNumberFormat="0" applyAlignment="0" applyProtection="0">
      <alignment vertical="center"/>
    </xf>
    <xf numFmtId="1" fontId="9" fillId="0" borderId="4">
      <alignment vertical="center"/>
      <protection locked="0"/>
    </xf>
    <xf numFmtId="176" fontId="97" fillId="0" borderId="1" applyFill="0" applyProtection="0">
      <alignment horizontal="right"/>
    </xf>
    <xf numFmtId="0" fontId="66" fillId="8" borderId="0" applyNumberFormat="0" applyBorder="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5" fillId="14" borderId="0" applyNumberFormat="0" applyBorder="0" applyAlignment="0" applyProtection="0"/>
    <xf numFmtId="0" fontId="56" fillId="10" borderId="42" applyNumberFormat="0" applyAlignment="0" applyProtection="0">
      <alignment vertical="center"/>
    </xf>
    <xf numFmtId="41" fontId="51" fillId="0" borderId="0" applyFont="0" applyFill="0" applyBorder="0" applyAlignment="0" applyProtection="0"/>
    <xf numFmtId="1" fontId="9" fillId="0" borderId="4">
      <alignment vertical="center"/>
      <protection locked="0"/>
    </xf>
    <xf numFmtId="0" fontId="62" fillId="10" borderId="42" applyNumberFormat="0" applyAlignment="0" applyProtection="0">
      <alignment vertical="center"/>
    </xf>
    <xf numFmtId="0" fontId="54" fillId="7" borderId="42" applyNumberFormat="0" applyAlignment="0" applyProtection="0">
      <alignment vertical="center"/>
    </xf>
    <xf numFmtId="9" fontId="97" fillId="0" borderId="0" applyFont="0" applyFill="0" applyBorder="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67" fillId="0" borderId="7">
      <alignment horizontal="lef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60" fillId="7" borderId="42" applyNumberFormat="0" applyAlignment="0" applyProtection="0">
      <alignment vertical="center"/>
    </xf>
    <xf numFmtId="0" fontId="62" fillId="10" borderId="42"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68" fillId="15" borderId="0" applyNumberFormat="0" applyBorder="0" applyAlignment="0" applyProtection="0">
      <alignment vertical="center"/>
    </xf>
    <xf numFmtId="0" fontId="64" fillId="0" borderId="46" applyProtection="0"/>
    <xf numFmtId="0" fontId="55" fillId="11" borderId="0"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1" fontId="9" fillId="0" borderId="4">
      <alignment vertical="center"/>
      <protection locked="0"/>
    </xf>
    <xf numFmtId="0" fontId="54" fillId="7" borderId="42" applyNumberFormat="0" applyAlignment="0" applyProtection="0">
      <alignment vertical="center"/>
    </xf>
    <xf numFmtId="0" fontId="54" fillId="7" borderId="42" applyNumberFormat="0" applyAlignment="0" applyProtection="0">
      <alignment vertical="center"/>
    </xf>
    <xf numFmtId="0" fontId="69" fillId="16" borderId="0" applyNumberFormat="0" applyBorder="0" applyAlignment="0" applyProtection="0">
      <alignment vertical="center"/>
    </xf>
    <xf numFmtId="0" fontId="56" fillId="10" borderId="42" applyNumberFormat="0" applyAlignment="0" applyProtection="0">
      <alignment vertical="center"/>
    </xf>
    <xf numFmtId="0" fontId="70" fillId="0" borderId="0"/>
    <xf numFmtId="0" fontId="54" fillId="7" borderId="42" applyNumberFormat="0" applyAlignment="0" applyProtection="0">
      <alignment vertical="center"/>
    </xf>
    <xf numFmtId="1" fontId="9" fillId="0" borderId="4">
      <alignment vertical="center"/>
      <protection locked="0"/>
    </xf>
    <xf numFmtId="0" fontId="54" fillId="7" borderId="42"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1" fillId="9" borderId="43" applyNumberFormat="0" applyFont="0" applyAlignment="0" applyProtection="0">
      <alignment vertical="center"/>
    </xf>
    <xf numFmtId="0" fontId="66" fillId="17" borderId="0" applyNumberFormat="0" applyBorder="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57" fillId="0" borderId="44" applyNumberFormat="0" applyFill="0" applyAlignment="0" applyProtection="0">
      <alignment vertical="center"/>
    </xf>
    <xf numFmtId="0" fontId="56" fillId="10" borderId="42" applyNumberFormat="0" applyAlignment="0" applyProtection="0">
      <alignment vertical="center"/>
    </xf>
    <xf numFmtId="0" fontId="63" fillId="0" borderId="44" applyNumberFormat="0" applyFill="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5" fillId="8" borderId="0" applyNumberFormat="0" applyBorder="0" applyAlignment="0" applyProtection="0"/>
    <xf numFmtId="0" fontId="54" fillId="7" borderId="42" applyNumberFormat="0" applyAlignment="0" applyProtection="0">
      <alignment vertical="center"/>
    </xf>
    <xf numFmtId="0" fontId="62" fillId="10"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5" fillId="18" borderId="0" applyNumberFormat="0" applyBorder="0" applyAlignment="0" applyProtection="0"/>
    <xf numFmtId="0" fontId="56" fillId="10" borderId="42" applyNumberForma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9" fontId="10" fillId="0" borderId="0" applyFont="0" applyFill="0" applyBorder="0" applyAlignment="0" applyProtection="0">
      <alignment vertical="center"/>
    </xf>
    <xf numFmtId="0" fontId="55" fillId="14" borderId="0"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43" fontId="97" fillId="0" borderId="0" applyFont="0" applyFill="0" applyBorder="0" applyAlignment="0" applyProtection="0"/>
    <xf numFmtId="0" fontId="60" fillId="7" borderId="42" applyNumberFormat="0" applyAlignment="0" applyProtection="0">
      <alignment vertical="center"/>
    </xf>
    <xf numFmtId="0" fontId="60" fillId="7"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1" fontId="9" fillId="0" borderId="4">
      <alignment vertical="center"/>
      <protection locked="0"/>
    </xf>
    <xf numFmtId="0" fontId="62" fillId="10" borderId="42" applyNumberFormat="0" applyAlignment="0" applyProtection="0">
      <alignment vertical="center"/>
    </xf>
    <xf numFmtId="0" fontId="69" fillId="17" borderId="0" applyNumberFormat="0" applyBorder="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5" fillId="18" borderId="0"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65" fillId="10" borderId="45" applyNumberFormat="0" applyAlignment="0" applyProtection="0">
      <alignment vertical="center"/>
    </xf>
    <xf numFmtId="0" fontId="59" fillId="9" borderId="4" applyNumberFormat="0" applyBorder="0" applyAlignment="0" applyProtection="0"/>
    <xf numFmtId="0" fontId="64" fillId="0" borderId="46" applyProtection="0"/>
    <xf numFmtId="0" fontId="56" fillId="10" borderId="42" applyNumberFormat="0" applyAlignment="0" applyProtection="0">
      <alignment vertical="center"/>
    </xf>
    <xf numFmtId="0" fontId="59" fillId="9" borderId="4" applyNumberFormat="0" applyBorder="0" applyAlignment="0" applyProtection="0"/>
    <xf numFmtId="1" fontId="9" fillId="0" borderId="4">
      <alignment vertical="center"/>
      <protection locked="0"/>
    </xf>
    <xf numFmtId="0" fontId="56" fillId="10" borderId="42" applyNumberFormat="0" applyAlignment="0" applyProtection="0">
      <alignment vertical="center"/>
    </xf>
    <xf numFmtId="0" fontId="69" fillId="17" borderId="0" applyNumberFormat="0" applyBorder="0" applyAlignment="0" applyProtection="0">
      <alignment vertical="center"/>
    </xf>
    <xf numFmtId="0" fontId="51" fillId="9" borderId="43" applyNumberFormat="0" applyFont="0" applyAlignment="0" applyProtection="0">
      <alignment vertical="center"/>
    </xf>
    <xf numFmtId="0" fontId="54" fillId="7" borderId="42" applyNumberFormat="0" applyAlignment="0" applyProtection="0">
      <alignment vertical="center"/>
    </xf>
    <xf numFmtId="0" fontId="60" fillId="7"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4" fillId="7" borderId="42" applyNumberFormat="0" applyAlignment="0" applyProtection="0">
      <alignment vertical="center"/>
    </xf>
    <xf numFmtId="1" fontId="9" fillId="0" borderId="4">
      <alignment vertical="center"/>
      <protection locked="0"/>
    </xf>
    <xf numFmtId="0" fontId="63" fillId="0" borderId="44" applyNumberFormat="0" applyFill="0" applyAlignment="0" applyProtection="0">
      <alignment vertical="center"/>
    </xf>
    <xf numFmtId="0" fontId="54" fillId="7" borderId="42" applyNumberFormat="0" applyAlignment="0" applyProtection="0">
      <alignment vertical="center"/>
    </xf>
    <xf numFmtId="0" fontId="55" fillId="11" borderId="0" applyNumberFormat="0" applyBorder="0" applyAlignment="0" applyProtection="0"/>
    <xf numFmtId="0" fontId="56" fillId="10" borderId="42" applyNumberFormat="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55" fillId="8" borderId="0" applyNumberFormat="0" applyBorder="0" applyAlignment="0" applyProtection="0"/>
    <xf numFmtId="0" fontId="60" fillId="7"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5" fillId="8" borderId="0" applyNumberFormat="0" applyBorder="0" applyAlignment="0" applyProtection="0"/>
    <xf numFmtId="0" fontId="58" fillId="10" borderId="45" applyNumberFormat="0" applyAlignment="0" applyProtection="0">
      <alignment vertical="center"/>
    </xf>
    <xf numFmtId="0" fontId="65" fillId="10" borderId="45" applyNumberFormat="0" applyAlignment="0" applyProtection="0">
      <alignment vertical="center"/>
    </xf>
    <xf numFmtId="0" fontId="51" fillId="0" borderId="0">
      <protection locked="0"/>
    </xf>
    <xf numFmtId="0" fontId="58" fillId="10" borderId="45"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71" fillId="19" borderId="0" applyNumberFormat="0" applyBorder="0" applyAlignment="0" applyProtection="0">
      <alignment vertical="center"/>
    </xf>
    <xf numFmtId="0" fontId="56" fillId="10" borderId="42" applyNumberFormat="0" applyAlignment="0" applyProtection="0">
      <alignment vertical="center"/>
    </xf>
    <xf numFmtId="0" fontId="55" fillId="14" borderId="0" applyNumberFormat="0" applyBorder="0" applyAlignment="0" applyProtection="0"/>
    <xf numFmtId="0" fontId="54" fillId="7"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1" fontId="9" fillId="0" borderId="4">
      <alignment vertical="center"/>
      <protection locked="0"/>
    </xf>
    <xf numFmtId="0" fontId="58" fillId="10" borderId="45" applyNumberFormat="0" applyAlignment="0" applyProtection="0">
      <alignment vertical="center"/>
    </xf>
    <xf numFmtId="0" fontId="57" fillId="0" borderId="44" applyNumberFormat="0" applyFill="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63" fillId="0" borderId="44" applyNumberFormat="0" applyFill="0" applyAlignment="0" applyProtection="0">
      <alignment vertical="center"/>
    </xf>
    <xf numFmtId="0" fontId="72" fillId="0" borderId="47">
      <alignment horizontal="center"/>
    </xf>
    <xf numFmtId="0" fontId="56" fillId="10" borderId="42" applyNumberFormat="0" applyAlignment="0" applyProtection="0">
      <alignment vertical="center"/>
    </xf>
    <xf numFmtId="0" fontId="63" fillId="0" borderId="44" applyNumberFormat="0" applyFill="0" applyAlignment="0" applyProtection="0">
      <alignment vertical="center"/>
    </xf>
    <xf numFmtId="0" fontId="56" fillId="10" borderId="42" applyNumberFormat="0" applyAlignment="0" applyProtection="0">
      <alignment vertical="center"/>
    </xf>
    <xf numFmtId="0" fontId="60" fillId="7" borderId="42" applyNumberFormat="0" applyAlignment="0" applyProtection="0">
      <alignment vertical="center"/>
    </xf>
    <xf numFmtId="0" fontId="73" fillId="0" borderId="0">
      <alignment vertical="center"/>
    </xf>
    <xf numFmtId="1" fontId="9" fillId="0" borderId="4">
      <alignment vertical="center"/>
      <protection locked="0"/>
    </xf>
    <xf numFmtId="0" fontId="56" fillId="10" borderId="42" applyNumberFormat="0" applyAlignment="0" applyProtection="0">
      <alignment vertical="center"/>
    </xf>
    <xf numFmtId="0" fontId="69" fillId="16" borderId="0" applyNumberFormat="0" applyBorder="0" applyAlignment="0" applyProtection="0">
      <alignment vertical="center"/>
    </xf>
    <xf numFmtId="0" fontId="59" fillId="9" borderId="4" applyNumberFormat="0" applyBorder="0" applyAlignment="0" applyProtection="0"/>
    <xf numFmtId="0" fontId="58" fillId="10" borderId="45" applyNumberFormat="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1" fillId="9" borderId="43" applyNumberFormat="0" applyFont="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55" fillId="14" borderId="0" applyNumberFormat="0" applyBorder="0" applyAlignment="0" applyProtection="0"/>
    <xf numFmtId="0" fontId="57" fillId="0" borderId="44" applyNumberFormat="0" applyFill="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69" fillId="20" borderId="0" applyNumberFormat="0" applyBorder="0" applyAlignment="0" applyProtection="0">
      <alignment vertical="center"/>
    </xf>
    <xf numFmtId="1" fontId="9" fillId="0" borderId="4">
      <alignment vertical="center"/>
      <protection locked="0"/>
    </xf>
    <xf numFmtId="0" fontId="58" fillId="10" borderId="45" applyNumberFormat="0" applyAlignment="0" applyProtection="0">
      <alignment vertical="center"/>
    </xf>
    <xf numFmtId="0" fontId="57" fillId="0" borderId="44" applyNumberFormat="0" applyFill="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71" fillId="19" borderId="0" applyNumberFormat="0" applyBorder="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67" fillId="0" borderId="7">
      <alignment horizontal="left" vertical="center"/>
    </xf>
    <xf numFmtId="0" fontId="51" fillId="9" borderId="43" applyNumberFormat="0" applyFon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10" fillId="19" borderId="0" applyNumberFormat="0" applyBorder="0" applyAlignment="0" applyProtection="0">
      <alignment vertical="center"/>
    </xf>
    <xf numFmtId="0" fontId="56" fillId="10" borderId="42" applyNumberFormat="0" applyAlignment="0" applyProtection="0">
      <alignment vertical="center"/>
    </xf>
    <xf numFmtId="0" fontId="60" fillId="7" borderId="42" applyNumberFormat="0" applyAlignment="0" applyProtection="0">
      <alignment vertical="center"/>
    </xf>
    <xf numFmtId="0" fontId="59" fillId="9" borderId="4" applyNumberFormat="0" applyBorder="0" applyAlignment="0" applyProtection="0"/>
    <xf numFmtId="43" fontId="97" fillId="0" borderId="0" applyFont="0" applyFill="0" applyBorder="0" applyAlignment="0" applyProtection="0"/>
    <xf numFmtId="0" fontId="54" fillId="7" borderId="42" applyNumberFormat="0" applyAlignment="0" applyProtection="0">
      <alignment vertical="center"/>
    </xf>
    <xf numFmtId="1" fontId="9" fillId="0" borderId="4">
      <alignment vertical="center"/>
      <protection locked="0"/>
    </xf>
    <xf numFmtId="0" fontId="56" fillId="10" borderId="42" applyNumberFormat="0" applyAlignment="0" applyProtection="0">
      <alignment vertical="center"/>
    </xf>
    <xf numFmtId="0" fontId="51" fillId="9" borderId="43" applyNumberFormat="0" applyFon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28" fillId="9" borderId="0" applyNumberFormat="0" applyBorder="0" applyAlignment="0" applyProtection="0"/>
    <xf numFmtId="0" fontId="55" fillId="14" borderId="0" applyNumberFormat="0" applyBorder="0" applyAlignment="0" applyProtection="0"/>
    <xf numFmtId="0" fontId="54" fillId="7" borderId="42" applyNumberFormat="0" applyAlignment="0" applyProtection="0">
      <alignment vertical="center"/>
    </xf>
    <xf numFmtId="0" fontId="60" fillId="7"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7" fillId="0" borderId="44" applyNumberFormat="0" applyFill="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60" fillId="7" borderId="42" applyNumberFormat="0" applyAlignment="0" applyProtection="0">
      <alignment vertical="center"/>
    </xf>
    <xf numFmtId="0" fontId="57" fillId="0" borderId="44" applyNumberFormat="0" applyFill="0" applyAlignment="0" applyProtection="0">
      <alignment vertical="center"/>
    </xf>
    <xf numFmtId="0" fontId="28" fillId="10" borderId="0" applyNumberFormat="0" applyBorder="0" applyAlignment="0" applyProtection="0"/>
    <xf numFmtId="0" fontId="56" fillId="10" borderId="42" applyNumberFormat="0" applyAlignment="0" applyProtection="0">
      <alignment vertical="center"/>
    </xf>
    <xf numFmtId="0" fontId="60" fillId="7" borderId="42" applyNumberFormat="0" applyAlignment="0" applyProtection="0">
      <alignment vertical="center"/>
    </xf>
    <xf numFmtId="0" fontId="59" fillId="9" borderId="4" applyNumberFormat="0" applyBorder="0" applyAlignment="0" applyProtection="0"/>
    <xf numFmtId="0" fontId="54" fillId="7" borderId="42" applyNumberFormat="0" applyAlignment="0" applyProtection="0">
      <alignment vertical="center"/>
    </xf>
    <xf numFmtId="0" fontId="56" fillId="10" borderId="42" applyNumberFormat="0" applyAlignment="0" applyProtection="0">
      <alignment vertical="center"/>
    </xf>
    <xf numFmtId="0" fontId="60" fillId="7" borderId="42" applyNumberFormat="0" applyAlignment="0" applyProtection="0">
      <alignment vertical="center"/>
    </xf>
    <xf numFmtId="0" fontId="56" fillId="10" borderId="42" applyNumberFormat="0" applyAlignment="0" applyProtection="0">
      <alignment vertical="center"/>
    </xf>
    <xf numFmtId="43" fontId="10" fillId="0" borderId="0" applyFont="0" applyFill="0" applyBorder="0" applyAlignment="0" applyProtection="0">
      <alignment vertical="center"/>
    </xf>
    <xf numFmtId="0" fontId="57" fillId="0" borderId="44" applyNumberFormat="0" applyFill="0" applyAlignment="0" applyProtection="0">
      <alignment vertical="center"/>
    </xf>
    <xf numFmtId="0" fontId="56" fillId="10" borderId="42" applyNumberFormat="0" applyAlignment="0" applyProtection="0">
      <alignment vertical="center"/>
    </xf>
    <xf numFmtId="0" fontId="97" fillId="0" borderId="0"/>
    <xf numFmtId="0" fontId="57" fillId="0" borderId="44" applyNumberFormat="0" applyFill="0" applyAlignment="0" applyProtection="0">
      <alignment vertical="center"/>
    </xf>
    <xf numFmtId="0" fontId="28" fillId="10" borderId="0" applyNumberFormat="0" applyBorder="0" applyAlignment="0" applyProtection="0">
      <alignment vertical="center"/>
    </xf>
    <xf numFmtId="0" fontId="56" fillId="10" borderId="42" applyNumberFormat="0" applyAlignment="0" applyProtection="0">
      <alignment vertical="center"/>
    </xf>
    <xf numFmtId="1" fontId="9" fillId="0" borderId="4">
      <alignment vertical="center"/>
      <protection locked="0"/>
    </xf>
    <xf numFmtId="0" fontId="58" fillId="10" borderId="45" applyNumberFormat="0" applyAlignment="0" applyProtection="0">
      <alignment vertical="center"/>
    </xf>
    <xf numFmtId="0" fontId="58" fillId="10" borderId="45" applyNumberFormat="0" applyAlignment="0" applyProtection="0">
      <alignment vertical="center"/>
    </xf>
    <xf numFmtId="0" fontId="57" fillId="0" borderId="44" applyNumberFormat="0" applyFill="0" applyAlignment="0" applyProtection="0">
      <alignment vertical="center"/>
    </xf>
    <xf numFmtId="0" fontId="60" fillId="7" borderId="42" applyNumberFormat="0" applyAlignment="0" applyProtection="0">
      <alignment vertical="center"/>
    </xf>
    <xf numFmtId="0" fontId="56" fillId="10" borderId="42" applyNumberFormat="0" applyAlignment="0" applyProtection="0">
      <alignment vertical="center"/>
    </xf>
    <xf numFmtId="0" fontId="62"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60" fillId="7"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1" fontId="9" fillId="0" borderId="4">
      <alignment vertical="center"/>
      <protection locked="0"/>
    </xf>
    <xf numFmtId="0" fontId="69" fillId="5" borderId="0" applyNumberFormat="0" applyBorder="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5" fillId="8" borderId="0" applyNumberFormat="0" applyBorder="0" applyAlignment="0" applyProtection="0"/>
    <xf numFmtId="0" fontId="54" fillId="7" borderId="42" applyNumberFormat="0" applyAlignment="0" applyProtection="0">
      <alignment vertical="center"/>
    </xf>
    <xf numFmtId="0" fontId="62" fillId="10" borderId="42" applyNumberFormat="0" applyAlignment="0" applyProtection="0">
      <alignment vertical="center"/>
    </xf>
    <xf numFmtId="0" fontId="63" fillId="0" borderId="44" applyNumberFormat="0" applyFill="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65" fillId="10" borderId="45"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5" fillId="8" borderId="0" applyNumberFormat="0" applyBorder="0" applyAlignment="0" applyProtection="0"/>
    <xf numFmtId="0" fontId="58" fillId="10" borderId="45" applyNumberFormat="0" applyAlignment="0" applyProtection="0">
      <alignment vertical="center"/>
    </xf>
    <xf numFmtId="0" fontId="56" fillId="10" borderId="42" applyNumberFormat="0" applyAlignment="0" applyProtection="0">
      <alignment vertical="center"/>
    </xf>
    <xf numFmtId="0" fontId="57" fillId="0" borderId="44" applyNumberFormat="0" applyFill="0" applyAlignment="0" applyProtection="0">
      <alignment vertical="center"/>
    </xf>
    <xf numFmtId="0" fontId="10" fillId="15" borderId="0" applyNumberFormat="0" applyBorder="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62" fillId="10" borderId="42" applyNumberFormat="0" applyAlignment="0" applyProtection="0">
      <alignment vertical="center"/>
    </xf>
    <xf numFmtId="0" fontId="73" fillId="0" borderId="0"/>
    <xf numFmtId="0" fontId="74" fillId="0" borderId="48" applyNumberFormat="0" applyFill="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4" fillId="7" borderId="42" applyNumberFormat="0" applyAlignment="0" applyProtection="0">
      <alignment vertical="center"/>
    </xf>
    <xf numFmtId="0" fontId="55" fillId="8" borderId="0" applyNumberFormat="0" applyBorder="0" applyAlignment="0" applyProtection="0"/>
    <xf numFmtId="0" fontId="67" fillId="0" borderId="7">
      <alignment horizontal="left" vertical="center"/>
    </xf>
    <xf numFmtId="0" fontId="59" fillId="9" borderId="4" applyNumberFormat="0" applyBorder="0" applyAlignment="0" applyProtection="0"/>
    <xf numFmtId="0" fontId="56" fillId="10" borderId="42" applyNumberFormat="0" applyAlignment="0" applyProtection="0">
      <alignment vertical="center"/>
    </xf>
    <xf numFmtId="0" fontId="55" fillId="11" borderId="0" applyNumberFormat="0" applyBorder="0" applyAlignment="0" applyProtection="0"/>
    <xf numFmtId="1" fontId="9" fillId="0" borderId="4">
      <alignment vertical="center"/>
      <protection locked="0"/>
    </xf>
    <xf numFmtId="0" fontId="59" fillId="9" borderId="4" applyNumberFormat="0" applyBorder="0" applyAlignment="0" applyProtection="0"/>
    <xf numFmtId="0" fontId="70" fillId="0" borderId="0"/>
    <xf numFmtId="0" fontId="54" fillId="7" borderId="42" applyNumberFormat="0" applyAlignment="0" applyProtection="0">
      <alignment vertical="center"/>
    </xf>
    <xf numFmtId="0" fontId="58" fillId="10" borderId="45" applyNumberFormat="0" applyAlignment="0" applyProtection="0">
      <alignment vertical="center"/>
    </xf>
    <xf numFmtId="0" fontId="51" fillId="9" borderId="43" applyNumberFormat="0" applyFont="0" applyAlignment="0" applyProtection="0">
      <alignment vertical="center"/>
    </xf>
    <xf numFmtId="0" fontId="54" fillId="7" borderId="42" applyNumberFormat="0" applyAlignment="0" applyProtection="0">
      <alignment vertical="center"/>
    </xf>
    <xf numFmtId="0" fontId="68" fillId="15" borderId="0" applyNumberFormat="0" applyBorder="0" applyAlignment="0" applyProtection="0">
      <alignment vertical="center"/>
    </xf>
    <xf numFmtId="0" fontId="71" fillId="21" borderId="0" applyNumberFormat="0" applyBorder="0" applyAlignment="0" applyProtection="0">
      <alignment vertical="center"/>
    </xf>
    <xf numFmtId="0" fontId="56" fillId="10" borderId="42" applyNumberFormat="0" applyAlignment="0" applyProtection="0">
      <alignment vertical="center"/>
    </xf>
    <xf numFmtId="0" fontId="63" fillId="0" borderId="44" applyNumberFormat="0" applyFill="0" applyAlignment="0" applyProtection="0">
      <alignment vertical="center"/>
    </xf>
    <xf numFmtId="0" fontId="61" fillId="12" borderId="0" applyNumberFormat="0" applyBorder="0" applyAlignment="0" applyProtection="0">
      <alignment vertical="center"/>
    </xf>
    <xf numFmtId="0" fontId="62" fillId="10" borderId="42" applyNumberFormat="0" applyAlignment="0" applyProtection="0">
      <alignment vertical="center"/>
    </xf>
    <xf numFmtId="0" fontId="64" fillId="0" borderId="46"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61" fillId="12" borderId="0" applyNumberFormat="0" applyBorder="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1" fillId="0" borderId="0">
      <alignment vertical="center"/>
      <protection locked="0"/>
    </xf>
    <xf numFmtId="0" fontId="54" fillId="7" borderId="42" applyNumberFormat="0" applyAlignment="0" applyProtection="0">
      <alignment vertical="center"/>
    </xf>
    <xf numFmtId="0" fontId="54" fillId="7" borderId="42" applyNumberFormat="0" applyAlignment="0" applyProtection="0">
      <alignment vertical="center"/>
    </xf>
    <xf numFmtId="1" fontId="9" fillId="0" borderId="4">
      <alignment vertical="center"/>
      <protection locked="0"/>
    </xf>
    <xf numFmtId="0" fontId="51" fillId="9" borderId="43" applyNumberFormat="0" applyFon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64" fillId="0" borderId="46" applyProtection="0"/>
    <xf numFmtId="0" fontId="56" fillId="10" borderId="42" applyNumberFormat="0" applyAlignment="0" applyProtection="0">
      <alignment vertical="center"/>
    </xf>
    <xf numFmtId="0" fontId="71" fillId="20" borderId="0" applyNumberFormat="0" applyBorder="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68" fillId="15" borderId="0" applyNumberFormat="0" applyBorder="0" applyAlignment="0" applyProtection="0">
      <alignment vertical="center"/>
    </xf>
    <xf numFmtId="0" fontId="58" fillId="10" borderId="45" applyNumberFormat="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28" fillId="9" borderId="0" applyNumberFormat="0" applyBorder="0" applyAlignment="0" applyProtection="0"/>
    <xf numFmtId="0" fontId="51" fillId="9" borderId="43" applyNumberFormat="0" applyFont="0" applyAlignment="0" applyProtection="0">
      <alignment vertical="center"/>
    </xf>
    <xf numFmtId="0" fontId="63" fillId="0" borderId="44" applyNumberFormat="0" applyFill="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10" fillId="0" borderId="0">
      <alignment vertical="center"/>
    </xf>
    <xf numFmtId="0" fontId="56" fillId="10" borderId="42" applyNumberFormat="0" applyAlignment="0" applyProtection="0">
      <alignment vertical="center"/>
    </xf>
    <xf numFmtId="0" fontId="55" fillId="5" borderId="0" applyNumberFormat="0" applyBorder="0" applyAlignment="0" applyProtection="0"/>
    <xf numFmtId="0" fontId="54" fillId="7" borderId="42" applyNumberFormat="0" applyAlignment="0" applyProtection="0">
      <alignment vertical="center"/>
    </xf>
    <xf numFmtId="0" fontId="60" fillId="7" borderId="42" applyNumberFormat="0" applyAlignment="0" applyProtection="0">
      <alignment vertical="center"/>
    </xf>
    <xf numFmtId="0" fontId="56" fillId="10" borderId="42" applyNumberFormat="0" applyAlignment="0" applyProtection="0">
      <alignment vertical="center"/>
    </xf>
    <xf numFmtId="0" fontId="75" fillId="0" borderId="0" applyNumberFormat="0" applyFill="0" applyBorder="0">
      <alignment vertical="center"/>
    </xf>
    <xf numFmtId="0" fontId="56" fillId="10" borderId="42" applyNumberFormat="0" applyAlignment="0" applyProtection="0">
      <alignment vertical="center"/>
    </xf>
    <xf numFmtId="1" fontId="9" fillId="0" borderId="4">
      <alignment vertical="center"/>
      <protection locked="0"/>
    </xf>
    <xf numFmtId="0" fontId="58" fillId="10" borderId="45" applyNumberFormat="0" applyAlignment="0" applyProtection="0">
      <alignment vertical="center"/>
    </xf>
    <xf numFmtId="0" fontId="69" fillId="8" borderId="0" applyNumberFormat="0" applyBorder="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68" fillId="15" borderId="0" applyNumberFormat="0" applyBorder="0" applyAlignment="0" applyProtection="0">
      <alignment vertical="center"/>
    </xf>
    <xf numFmtId="0" fontId="68" fillId="15" borderId="0" applyNumberFormat="0" applyBorder="0" applyAlignment="0" applyProtection="0">
      <alignment vertical="center"/>
    </xf>
    <xf numFmtId="0" fontId="54" fillId="7" borderId="42" applyNumberFormat="0" applyAlignment="0" applyProtection="0">
      <alignment vertical="center"/>
    </xf>
    <xf numFmtId="0" fontId="51" fillId="9" borderId="43" applyNumberFormat="0" applyFont="0" applyAlignment="0" applyProtection="0">
      <alignment vertical="center"/>
    </xf>
    <xf numFmtId="0" fontId="97" fillId="0" borderId="0">
      <protection locked="0"/>
    </xf>
    <xf numFmtId="0" fontId="60"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68" fillId="15" borderId="0" applyNumberFormat="0" applyBorder="0" applyAlignment="0" applyProtection="0">
      <alignment vertical="center"/>
    </xf>
    <xf numFmtId="0" fontId="56" fillId="10" borderId="42" applyNumberFormat="0" applyAlignment="0" applyProtection="0">
      <alignment vertical="center"/>
    </xf>
    <xf numFmtId="0" fontId="97" fillId="0" borderId="0">
      <alignment vertical="center"/>
      <protection locked="0"/>
    </xf>
    <xf numFmtId="0" fontId="59" fillId="9" borderId="4" applyNumberFormat="0" applyBorder="0" applyAlignment="0" applyProtection="0"/>
    <xf numFmtId="0" fontId="56" fillId="10" borderId="42" applyNumberFormat="0" applyAlignment="0" applyProtection="0">
      <alignment vertical="center"/>
    </xf>
    <xf numFmtId="0" fontId="55" fillId="13" borderId="0" applyNumberFormat="0" applyBorder="0" applyAlignment="0" applyProtection="0"/>
    <xf numFmtId="0" fontId="56" fillId="10" borderId="42" applyNumberFormat="0" applyAlignment="0" applyProtection="0">
      <alignment vertical="center"/>
    </xf>
    <xf numFmtId="0" fontId="51" fillId="0" borderId="0">
      <alignment vertical="center"/>
    </xf>
    <xf numFmtId="0" fontId="54" fillId="7" borderId="42" applyNumberFormat="0" applyAlignment="0" applyProtection="0">
      <alignment vertical="center"/>
    </xf>
    <xf numFmtId="0" fontId="68" fillId="15" borderId="0" applyNumberFormat="0" applyBorder="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64" fillId="0" borderId="46" applyProtection="0"/>
    <xf numFmtId="0" fontId="59" fillId="9" borderId="4" applyNumberFormat="0" applyBorder="0" applyAlignment="0" applyProtection="0"/>
    <xf numFmtId="0" fontId="55" fillId="5" borderId="0" applyNumberFormat="0" applyBorder="0" applyAlignment="0" applyProtection="0"/>
    <xf numFmtId="0" fontId="54" fillId="7" borderId="42" applyNumberFormat="0" applyAlignment="0" applyProtection="0">
      <alignment vertical="center"/>
    </xf>
    <xf numFmtId="0" fontId="59" fillId="9" borderId="4" applyNumberFormat="0" applyBorder="0" applyAlignment="0" applyProtection="0"/>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55" fillId="13" borderId="0" applyNumberFormat="0" applyBorder="0" applyAlignment="0" applyProtection="0"/>
    <xf numFmtId="0" fontId="65" fillId="10" borderId="45" applyNumberFormat="0" applyAlignment="0" applyProtection="0">
      <alignment vertical="center"/>
    </xf>
    <xf numFmtId="0" fontId="56" fillId="10" borderId="42" applyNumberFormat="0" applyAlignment="0" applyProtection="0">
      <alignment vertical="center"/>
    </xf>
    <xf numFmtId="0" fontId="51" fillId="0" borderId="0">
      <protection locked="0"/>
    </xf>
    <xf numFmtId="0" fontId="56" fillId="10" borderId="42" applyNumberFormat="0" applyAlignment="0" applyProtection="0">
      <alignment vertical="center"/>
    </xf>
    <xf numFmtId="0" fontId="56" fillId="10" borderId="42" applyNumberFormat="0" applyAlignment="0" applyProtection="0">
      <alignment vertical="center"/>
    </xf>
    <xf numFmtId="0" fontId="60" fillId="7" borderId="42" applyNumberFormat="0" applyAlignment="0" applyProtection="0">
      <alignment vertical="center"/>
    </xf>
    <xf numFmtId="0" fontId="58" fillId="10" borderId="45" applyNumberFormat="0" applyAlignment="0" applyProtection="0">
      <alignment vertical="center"/>
    </xf>
    <xf numFmtId="0" fontId="55" fillId="13" borderId="0" applyNumberFormat="0" applyBorder="0" applyAlignment="0" applyProtection="0"/>
    <xf numFmtId="0" fontId="59" fillId="9" borderId="4" applyNumberFormat="0" applyBorder="0" applyAlignment="0" applyProtection="0"/>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9" fillId="9" borderId="4" applyNumberFormat="0" applyBorder="0" applyAlignment="0" applyProtection="0"/>
    <xf numFmtId="0" fontId="55" fillId="11" borderId="0" applyNumberFormat="0" applyBorder="0" applyAlignment="0" applyProtection="0"/>
    <xf numFmtId="0" fontId="68" fillId="15" borderId="0" applyNumberFormat="0" applyBorder="0" applyAlignment="0" applyProtection="0">
      <alignment vertical="center"/>
    </xf>
    <xf numFmtId="0" fontId="71" fillId="21" borderId="0" applyNumberFormat="0" applyBorder="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61" fillId="12" borderId="0" applyNumberFormat="0" applyBorder="0" applyAlignment="0" applyProtection="0">
      <alignment vertical="center"/>
    </xf>
    <xf numFmtId="0" fontId="54" fillId="7" borderId="42" applyNumberFormat="0" applyAlignment="0" applyProtection="0">
      <alignment vertical="center"/>
    </xf>
    <xf numFmtId="0" fontId="65" fillId="10" borderId="45" applyNumberFormat="0" applyAlignment="0" applyProtection="0">
      <alignment vertical="center"/>
    </xf>
    <xf numFmtId="0" fontId="64" fillId="0" borderId="46" applyProtection="0"/>
    <xf numFmtId="0" fontId="28" fillId="6" borderId="0" applyNumberFormat="0" applyBorder="0" applyAlignment="0" applyProtection="0"/>
    <xf numFmtId="0" fontId="67" fillId="0" borderId="7">
      <alignment horizontal="left" vertical="center"/>
    </xf>
    <xf numFmtId="0" fontId="59" fillId="9" borderId="4" applyNumberFormat="0" applyBorder="0" applyAlignment="0" applyProtection="0"/>
    <xf numFmtId="0" fontId="56" fillId="10" borderId="42" applyNumberFormat="0" applyAlignment="0" applyProtection="0">
      <alignment vertical="center"/>
    </xf>
    <xf numFmtId="1" fontId="9" fillId="0" borderId="4">
      <alignment vertical="center"/>
      <protection locked="0"/>
    </xf>
    <xf numFmtId="0" fontId="54" fillId="7" borderId="42"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66" fillId="20" borderId="0" applyNumberFormat="0" applyBorder="0" applyAlignment="0" applyProtection="0">
      <alignment vertical="center"/>
    </xf>
    <xf numFmtId="0" fontId="54" fillId="7" borderId="42" applyNumberFormat="0" applyAlignment="0" applyProtection="0">
      <alignment vertical="center"/>
    </xf>
    <xf numFmtId="0" fontId="61" fillId="12" borderId="0" applyNumberFormat="0" applyBorder="0" applyAlignment="0" applyProtection="0">
      <alignment vertical="center"/>
    </xf>
    <xf numFmtId="0" fontId="68" fillId="15" borderId="0" applyNumberFormat="0" applyBorder="0" applyAlignment="0" applyProtection="0">
      <alignment vertical="center"/>
    </xf>
    <xf numFmtId="0" fontId="28" fillId="6" borderId="0" applyNumberFormat="0" applyBorder="0" applyAlignment="0" applyProtection="0"/>
    <xf numFmtId="0" fontId="67" fillId="0" borderId="7">
      <alignment horizontal="left" vertical="center"/>
    </xf>
    <xf numFmtId="0" fontId="55" fillId="11" borderId="0" applyNumberFormat="0" applyBorder="0" applyAlignment="0" applyProtection="0"/>
    <xf numFmtId="0" fontId="54" fillId="7" borderId="42" applyNumberFormat="0" applyAlignment="0" applyProtection="0">
      <alignment vertical="center"/>
    </xf>
    <xf numFmtId="0" fontId="59" fillId="9" borderId="4" applyNumberFormat="0" applyBorder="0" applyAlignment="0" applyProtection="0"/>
    <xf numFmtId="0" fontId="55" fillId="13" borderId="0"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64" fillId="0" borderId="46" applyProtection="0"/>
    <xf numFmtId="0" fontId="56" fillId="10" borderId="42" applyNumberFormat="0" applyAlignment="0" applyProtection="0">
      <alignment vertical="center"/>
    </xf>
    <xf numFmtId="0" fontId="63" fillId="0" borderId="44" applyNumberFormat="0" applyFill="0" applyAlignment="0" applyProtection="0">
      <alignment vertical="center"/>
    </xf>
    <xf numFmtId="0" fontId="70" fillId="0" borderId="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97" fillId="0" borderId="0" applyNumberFormat="0" applyFill="0" applyBorder="0" applyAlignment="0" applyProtection="0">
      <alignment vertical="center"/>
    </xf>
    <xf numFmtId="0" fontId="97" fillId="0" borderId="0"/>
    <xf numFmtId="0" fontId="56" fillId="10" borderId="42" applyNumberFormat="0" applyAlignment="0" applyProtection="0">
      <alignment vertical="center"/>
    </xf>
    <xf numFmtId="0" fontId="67" fillId="0" borderId="7">
      <alignment horizontal="left" vertical="center"/>
    </xf>
    <xf numFmtId="0" fontId="97" fillId="0" borderId="0"/>
    <xf numFmtId="0" fontId="54" fillId="7" borderId="42" applyNumberFormat="0" applyAlignment="0" applyProtection="0">
      <alignment vertical="center"/>
    </xf>
    <xf numFmtId="0" fontId="97" fillId="0" borderId="0">
      <alignment vertical="center"/>
    </xf>
    <xf numFmtId="0" fontId="56" fillId="10" borderId="42" applyNumberFormat="0" applyAlignment="0" applyProtection="0">
      <alignment vertical="center"/>
    </xf>
    <xf numFmtId="0" fontId="55" fillId="11" borderId="0" applyNumberFormat="0" applyBorder="0" applyAlignment="0" applyProtection="0"/>
    <xf numFmtId="0" fontId="59" fillId="9" borderId="4" applyNumberFormat="0" applyBorder="0" applyAlignment="0" applyProtection="0"/>
    <xf numFmtId="0" fontId="71" fillId="19" borderId="0" applyNumberFormat="0" applyBorder="0" applyAlignment="0" applyProtection="0">
      <alignment vertical="center"/>
    </xf>
    <xf numFmtId="0" fontId="70" fillId="0" borderId="0"/>
    <xf numFmtId="0" fontId="54" fillId="7" borderId="42" applyNumberFormat="0" applyAlignment="0" applyProtection="0">
      <alignment vertical="center"/>
    </xf>
    <xf numFmtId="0" fontId="74" fillId="0" borderId="48" applyNumberFormat="0" applyFill="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10" fillId="18" borderId="0" applyNumberFormat="0" applyBorder="0" applyAlignment="0" applyProtection="0">
      <alignment vertical="center"/>
    </xf>
    <xf numFmtId="0" fontId="71" fillId="19" borderId="0" applyNumberFormat="0" applyBorder="0" applyAlignment="0" applyProtection="0">
      <alignment vertical="center"/>
    </xf>
    <xf numFmtId="0" fontId="70" fillId="0" borderId="0">
      <alignment vertical="center"/>
    </xf>
    <xf numFmtId="0" fontId="54" fillId="7" borderId="42" applyNumberFormat="0" applyAlignment="0" applyProtection="0">
      <alignment vertical="center"/>
    </xf>
    <xf numFmtId="0" fontId="64" fillId="0" borderId="46" applyProtection="0"/>
    <xf numFmtId="178" fontId="9" fillId="0" borderId="4">
      <alignment vertical="center"/>
      <protection locked="0"/>
    </xf>
    <xf numFmtId="0" fontId="97" fillId="0" borderId="0">
      <protection locked="0"/>
    </xf>
    <xf numFmtId="0" fontId="59" fillId="9" borderId="4" applyNumberFormat="0" applyBorder="0" applyAlignment="0" applyProtection="0"/>
    <xf numFmtId="0" fontId="57" fillId="0" borderId="44" applyNumberFormat="0" applyFill="0" applyAlignment="0" applyProtection="0">
      <alignment vertical="center"/>
    </xf>
    <xf numFmtId="0" fontId="97" fillId="0" borderId="0">
      <alignment vertical="center"/>
      <protection locked="0"/>
    </xf>
    <xf numFmtId="0" fontId="57" fillId="0" borderId="44" applyNumberFormat="0" applyFill="0" applyAlignment="0" applyProtection="0">
      <alignment vertical="center"/>
    </xf>
    <xf numFmtId="0" fontId="51" fillId="9" borderId="43" applyNumberFormat="0" applyFon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1" fontId="9" fillId="0" borderId="4">
      <alignment vertical="center"/>
      <protection locked="0"/>
    </xf>
    <xf numFmtId="0" fontId="54" fillId="7" borderId="42" applyNumberFormat="0" applyAlignment="0" applyProtection="0">
      <alignment vertical="center"/>
    </xf>
    <xf numFmtId="0" fontId="55" fillId="11" borderId="0" applyNumberFormat="0" applyBorder="0" applyAlignment="0" applyProtection="0"/>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28" fillId="9" borderId="0" applyNumberFormat="0" applyBorder="0" applyAlignment="0" applyProtection="0">
      <alignment vertical="center"/>
    </xf>
    <xf numFmtId="0" fontId="97" fillId="0" borderId="0">
      <protection locked="0"/>
    </xf>
    <xf numFmtId="0" fontId="57" fillId="0" borderId="44" applyNumberFormat="0" applyFill="0" applyAlignment="0" applyProtection="0">
      <alignment vertical="center"/>
    </xf>
    <xf numFmtId="0" fontId="54" fillId="7" borderId="42" applyNumberFormat="0" applyAlignment="0" applyProtection="0">
      <alignment vertical="center"/>
    </xf>
    <xf numFmtId="43" fontId="97" fillId="0" borderId="0" applyFont="0" applyFill="0" applyBorder="0" applyAlignment="0" applyProtection="0"/>
    <xf numFmtId="0" fontId="55" fillId="5" borderId="0" applyNumberFormat="0" applyBorder="0" applyAlignment="0" applyProtection="0"/>
    <xf numFmtId="0" fontId="54" fillId="7" borderId="42" applyNumberFormat="0" applyAlignment="0" applyProtection="0">
      <alignment vertical="center"/>
    </xf>
    <xf numFmtId="0" fontId="97" fillId="0" borderId="0">
      <alignment vertical="center"/>
      <protection locked="0"/>
    </xf>
    <xf numFmtId="0" fontId="57" fillId="0" borderId="44" applyNumberFormat="0" applyFill="0" applyAlignment="0" applyProtection="0">
      <alignment vertical="center"/>
    </xf>
    <xf numFmtId="0" fontId="55" fillId="5" borderId="0" applyNumberFormat="0" applyBorder="0" applyAlignment="0" applyProtection="0"/>
    <xf numFmtId="0" fontId="55" fillId="5" borderId="0" applyNumberFormat="0" applyBorder="0" applyAlignment="0" applyProtection="0"/>
    <xf numFmtId="0" fontId="65" fillId="10" borderId="45" applyNumberFormat="0" applyAlignment="0" applyProtection="0">
      <alignment vertical="center"/>
    </xf>
    <xf numFmtId="0" fontId="70" fillId="0" borderId="0"/>
    <xf numFmtId="0" fontId="54" fillId="7" borderId="42" applyNumberFormat="0" applyAlignment="0" applyProtection="0">
      <alignment vertical="center"/>
    </xf>
    <xf numFmtId="0" fontId="57" fillId="0" borderId="44" applyNumberFormat="0" applyFill="0" applyAlignment="0" applyProtection="0">
      <alignment vertical="center"/>
    </xf>
    <xf numFmtId="0" fontId="62" fillId="10" borderId="42" applyNumberForma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60" fillId="7" borderId="42" applyNumberFormat="0" applyAlignment="0" applyProtection="0">
      <alignment vertical="center"/>
    </xf>
    <xf numFmtId="0" fontId="70" fillId="0" borderId="0">
      <alignment vertical="center"/>
    </xf>
    <xf numFmtId="0" fontId="54" fillId="7" borderId="42" applyNumberFormat="0" applyAlignment="0" applyProtection="0">
      <alignment vertical="center"/>
    </xf>
    <xf numFmtId="0" fontId="62" fillId="10" borderId="42" applyNumberFormat="0" applyAlignment="0" applyProtection="0">
      <alignment vertical="center"/>
    </xf>
    <xf numFmtId="0" fontId="62" fillId="10" borderId="42" applyNumberFormat="0" applyAlignment="0" applyProtection="0">
      <alignment vertical="center"/>
    </xf>
    <xf numFmtId="0" fontId="28" fillId="9" borderId="0" applyNumberFormat="0" applyBorder="0" applyAlignment="0" applyProtection="0"/>
    <xf numFmtId="0" fontId="59" fillId="9" borderId="4" applyNumberFormat="0" applyBorder="0" applyAlignment="0" applyProtection="0"/>
    <xf numFmtId="0" fontId="36" fillId="0" borderId="0">
      <alignment vertical="center"/>
    </xf>
    <xf numFmtId="0" fontId="58" fillId="10" borderId="45" applyNumberFormat="0" applyAlignment="0" applyProtection="0">
      <alignment vertical="center"/>
    </xf>
    <xf numFmtId="0" fontId="73" fillId="0" borderId="0"/>
    <xf numFmtId="0" fontId="54" fillId="7" borderId="42" applyNumberFormat="0" applyAlignment="0" applyProtection="0">
      <alignment vertical="center"/>
    </xf>
    <xf numFmtId="0" fontId="76" fillId="15" borderId="0" applyNumberFormat="0" applyBorder="0" applyAlignment="0" applyProtection="0">
      <alignment vertical="center"/>
    </xf>
    <xf numFmtId="0" fontId="28" fillId="9" borderId="0" applyNumberFormat="0" applyBorder="0" applyAlignment="0" applyProtection="0"/>
    <xf numFmtId="0" fontId="55" fillId="11" borderId="0" applyNumberFormat="0" applyBorder="0" applyAlignment="0" applyProtection="0"/>
    <xf numFmtId="0" fontId="54" fillId="7" borderId="42" applyNumberFormat="0" applyAlignment="0" applyProtection="0">
      <alignment vertical="center"/>
    </xf>
    <xf numFmtId="0" fontId="73" fillId="0" borderId="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5" fillId="11" borderId="0" applyNumberFormat="0" applyBorder="0" applyAlignment="0" applyProtection="0"/>
    <xf numFmtId="0" fontId="59" fillId="9" borderId="4" applyNumberFormat="0" applyBorder="0" applyAlignment="0" applyProtection="0"/>
    <xf numFmtId="0" fontId="70" fillId="0" borderId="0"/>
    <xf numFmtId="0" fontId="58" fillId="10" borderId="45" applyNumberFormat="0" applyAlignment="0" applyProtection="0">
      <alignment vertical="center"/>
    </xf>
    <xf numFmtId="0" fontId="58" fillId="10" borderId="45" applyNumberFormat="0" applyAlignment="0" applyProtection="0">
      <alignment vertical="center"/>
    </xf>
    <xf numFmtId="0" fontId="55" fillId="8" borderId="0" applyNumberFormat="0" applyBorder="0" applyAlignment="0" applyProtection="0"/>
    <xf numFmtId="0" fontId="65" fillId="10" borderId="45" applyNumberFormat="0" applyAlignment="0" applyProtection="0">
      <alignment vertical="center"/>
    </xf>
    <xf numFmtId="0" fontId="58" fillId="10" borderId="45" applyNumberFormat="0" applyAlignment="0" applyProtection="0">
      <alignment vertical="center"/>
    </xf>
    <xf numFmtId="0" fontId="55" fillId="11" borderId="0" applyNumberFormat="0" applyBorder="0" applyAlignment="0" applyProtection="0"/>
    <xf numFmtId="0" fontId="51" fillId="9" borderId="43" applyNumberFormat="0" applyFon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60" fillId="7" borderId="42" applyNumberFormat="0" applyAlignment="0" applyProtection="0">
      <alignment vertical="center"/>
    </xf>
    <xf numFmtId="0" fontId="70" fillId="0" borderId="0">
      <alignment vertical="center"/>
    </xf>
    <xf numFmtId="0" fontId="54" fillId="7" borderId="42" applyNumberFormat="0" applyAlignment="0" applyProtection="0">
      <alignment vertical="center"/>
    </xf>
    <xf numFmtId="0" fontId="58" fillId="10" borderId="45" applyNumberFormat="0" applyAlignment="0" applyProtection="0">
      <alignment vertical="center"/>
    </xf>
    <xf numFmtId="0" fontId="55" fillId="8" borderId="0" applyNumberFormat="0" applyBorder="0" applyAlignment="0" applyProtection="0"/>
    <xf numFmtId="0" fontId="54" fillId="7" borderId="42" applyNumberFormat="0" applyAlignment="0" applyProtection="0">
      <alignment vertical="center"/>
    </xf>
    <xf numFmtId="0" fontId="54" fillId="7" borderId="42" applyNumberFormat="0" applyAlignment="0" applyProtection="0">
      <alignment vertical="center"/>
    </xf>
    <xf numFmtId="0" fontId="65" fillId="10" borderId="45" applyNumberFormat="0" applyAlignment="0" applyProtection="0">
      <alignment vertical="center"/>
    </xf>
    <xf numFmtId="0" fontId="70" fillId="0" borderId="0"/>
    <xf numFmtId="0" fontId="54" fillId="7" borderId="42" applyNumberFormat="0" applyAlignment="0" applyProtection="0">
      <alignment vertical="center"/>
    </xf>
    <xf numFmtId="0" fontId="54" fillId="7" borderId="42" applyNumberFormat="0" applyAlignment="0" applyProtection="0">
      <alignment vertical="center"/>
    </xf>
    <xf numFmtId="0" fontId="70" fillId="0" borderId="0">
      <alignment vertical="center"/>
    </xf>
    <xf numFmtId="0" fontId="65" fillId="10" borderId="45"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71" fillId="7" borderId="0" applyNumberFormat="0" applyBorder="0" applyAlignment="0" applyProtection="0">
      <alignment vertical="center"/>
    </xf>
    <xf numFmtId="0" fontId="73" fillId="0" borderId="0"/>
    <xf numFmtId="0" fontId="56" fillId="10"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71" fillId="7" borderId="0" applyNumberFormat="0" applyBorder="0" applyAlignment="0" applyProtection="0">
      <alignment vertical="center"/>
    </xf>
    <xf numFmtId="0" fontId="54" fillId="7" borderId="42" applyNumberFormat="0" applyAlignment="0" applyProtection="0">
      <alignment vertical="center"/>
    </xf>
    <xf numFmtId="0" fontId="51" fillId="9" borderId="43" applyNumberFormat="0" applyFon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73" fillId="0" borderId="0">
      <alignment vertical="center"/>
    </xf>
    <xf numFmtId="0" fontId="51" fillId="9" borderId="43" applyNumberFormat="0" applyFont="0" applyAlignment="0" applyProtection="0">
      <alignment vertical="center"/>
    </xf>
    <xf numFmtId="0" fontId="58" fillId="10" borderId="45" applyNumberFormat="0" applyAlignment="0" applyProtection="0">
      <alignment vertical="center"/>
    </xf>
    <xf numFmtId="0" fontId="55" fillId="14" borderId="0" applyNumberFormat="0" applyBorder="0" applyAlignment="0" applyProtection="0"/>
    <xf numFmtId="0" fontId="55" fillId="14" borderId="0"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62" fillId="10" borderId="42" applyNumberFormat="0" applyAlignment="0" applyProtection="0">
      <alignment vertical="center"/>
    </xf>
    <xf numFmtId="0" fontId="54" fillId="7" borderId="42" applyNumberFormat="0" applyAlignment="0" applyProtection="0">
      <alignment vertical="center"/>
    </xf>
    <xf numFmtId="0" fontId="97" fillId="0" borderId="0"/>
    <xf numFmtId="0" fontId="59" fillId="9" borderId="4" applyNumberFormat="0" applyBorder="0" applyAlignment="0" applyProtection="0"/>
    <xf numFmtId="0" fontId="56" fillId="10" borderId="42" applyNumberFormat="0" applyAlignment="0" applyProtection="0">
      <alignment vertical="center"/>
    </xf>
    <xf numFmtId="0" fontId="55" fillId="14" borderId="0" applyNumberFormat="0" applyBorder="0" applyAlignment="0" applyProtection="0"/>
    <xf numFmtId="0" fontId="56" fillId="10" borderId="42" applyNumberFormat="0" applyAlignment="0" applyProtection="0">
      <alignment vertical="center"/>
    </xf>
    <xf numFmtId="0" fontId="57" fillId="0" borderId="44" applyNumberFormat="0" applyFill="0" applyAlignment="0" applyProtection="0">
      <alignment vertical="center"/>
    </xf>
    <xf numFmtId="0" fontId="62"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1" fontId="9" fillId="0" borderId="4">
      <alignment vertical="center"/>
      <protection locked="0"/>
    </xf>
    <xf numFmtId="0" fontId="54" fillId="7" borderId="42" applyNumberFormat="0" applyAlignment="0" applyProtection="0">
      <alignment vertical="center"/>
    </xf>
    <xf numFmtId="0" fontId="97" fillId="0" borderId="0">
      <alignment vertical="center"/>
    </xf>
    <xf numFmtId="0" fontId="55" fillId="11" borderId="0" applyNumberFormat="0" applyBorder="0" applyAlignment="0" applyProtection="0"/>
    <xf numFmtId="0" fontId="59" fillId="9" borderId="4" applyNumberFormat="0" applyBorder="0" applyAlignment="0" applyProtection="0"/>
    <xf numFmtId="0" fontId="59" fillId="9" borderId="4" applyNumberFormat="0" applyBorder="0" applyAlignment="0" applyProtection="0"/>
    <xf numFmtId="0" fontId="55" fillId="11" borderId="0" applyNumberFormat="0" applyBorder="0" applyAlignment="0" applyProtection="0"/>
    <xf numFmtId="0" fontId="56" fillId="10" borderId="42" applyNumberFormat="0" applyAlignment="0" applyProtection="0">
      <alignment vertical="center"/>
    </xf>
    <xf numFmtId="0" fontId="77" fillId="0" borderId="0"/>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77" fillId="0" borderId="0"/>
    <xf numFmtId="0" fontId="56" fillId="10" borderId="42" applyNumberFormat="0" applyAlignment="0" applyProtection="0">
      <alignment vertical="center"/>
    </xf>
    <xf numFmtId="0" fontId="54" fillId="7" borderId="42" applyNumberFormat="0" applyAlignment="0" applyProtection="0">
      <alignment vertical="center"/>
    </xf>
    <xf numFmtId="0" fontId="55" fillId="5" borderId="0" applyNumberFormat="0" applyBorder="0" applyAlignment="0" applyProtection="0"/>
    <xf numFmtId="0" fontId="54" fillId="7" borderId="42" applyNumberFormat="0" applyAlignment="0" applyProtection="0">
      <alignment vertical="center"/>
    </xf>
    <xf numFmtId="0" fontId="54" fillId="7" borderId="42" applyNumberFormat="0" applyAlignment="0" applyProtection="0">
      <alignment vertical="center"/>
    </xf>
    <xf numFmtId="0" fontId="64" fillId="0" borderId="46" applyProtection="0"/>
    <xf numFmtId="0" fontId="77" fillId="0" borderId="0">
      <alignment vertical="center"/>
    </xf>
    <xf numFmtId="0" fontId="56" fillId="10" borderId="42" applyNumberFormat="0" applyAlignment="0" applyProtection="0">
      <alignment vertical="center"/>
    </xf>
    <xf numFmtId="0" fontId="71" fillId="15" borderId="0" applyNumberFormat="0" applyBorder="0" applyAlignment="0" applyProtection="0">
      <alignment vertical="center"/>
    </xf>
    <xf numFmtId="0" fontId="57" fillId="0" borderId="44" applyNumberFormat="0" applyFill="0" applyAlignment="0" applyProtection="0">
      <alignment vertical="center"/>
    </xf>
    <xf numFmtId="0" fontId="78" fillId="0" borderId="49" applyNumberFormat="0" applyFill="0" applyAlignment="0" applyProtection="0">
      <alignment vertical="center"/>
    </xf>
    <xf numFmtId="0" fontId="97" fillId="0" borderId="0"/>
    <xf numFmtId="0" fontId="58" fillId="10" borderId="45" applyNumberFormat="0" applyAlignment="0" applyProtection="0">
      <alignment vertical="center"/>
    </xf>
    <xf numFmtId="0" fontId="62" fillId="10" borderId="42" applyNumberFormat="0" applyAlignment="0" applyProtection="0">
      <alignment vertical="center"/>
    </xf>
    <xf numFmtId="0" fontId="56" fillId="10" borderId="42" applyNumberFormat="0" applyAlignment="0" applyProtection="0">
      <alignment vertical="center"/>
    </xf>
    <xf numFmtId="0" fontId="79" fillId="0" borderId="0">
      <alignment horizontal="center" vertical="center"/>
    </xf>
    <xf numFmtId="0" fontId="65" fillId="10" borderId="45"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49" fontId="51" fillId="0" borderId="0" applyFont="0" applyFill="0" applyBorder="0" applyAlignment="0" applyProtection="0"/>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8" fillId="10" borderId="45" applyNumberFormat="0" applyAlignment="0" applyProtection="0">
      <alignment vertical="center"/>
    </xf>
    <xf numFmtId="0" fontId="71" fillId="15" borderId="0" applyNumberFormat="0" applyBorder="0" applyAlignment="0" applyProtection="0">
      <alignment vertical="center"/>
    </xf>
    <xf numFmtId="0" fontId="57" fillId="0" borderId="44" applyNumberFormat="0" applyFill="0" applyAlignment="0" applyProtection="0">
      <alignment vertical="center"/>
    </xf>
    <xf numFmtId="0" fontId="56" fillId="10" borderId="42" applyNumberFormat="0" applyAlignment="0" applyProtection="0">
      <alignment vertical="center"/>
    </xf>
    <xf numFmtId="0" fontId="65" fillId="10" borderId="45" applyNumberFormat="0" applyAlignment="0" applyProtection="0">
      <alignment vertical="center"/>
    </xf>
    <xf numFmtId="0" fontId="78" fillId="0" borderId="49" applyNumberFormat="0" applyFill="0" applyAlignment="0" applyProtection="0">
      <alignment vertical="center"/>
    </xf>
    <xf numFmtId="0" fontId="97" fillId="0" borderId="0">
      <alignment vertical="center"/>
    </xf>
    <xf numFmtId="0" fontId="58" fillId="10" borderId="45" applyNumberFormat="0" applyAlignment="0" applyProtection="0">
      <alignment vertical="center"/>
    </xf>
    <xf numFmtId="0" fontId="61" fillId="12" borderId="0" applyNumberFormat="0" applyBorder="0" applyAlignment="0" applyProtection="0">
      <alignment vertical="center"/>
    </xf>
    <xf numFmtId="0" fontId="62" fillId="10" borderId="42" applyNumberFormat="0" applyAlignment="0" applyProtection="0">
      <alignment vertical="center"/>
    </xf>
    <xf numFmtId="0" fontId="58" fillId="10" borderId="45" applyNumberFormat="0" applyAlignment="0" applyProtection="0">
      <alignment vertical="center"/>
    </xf>
    <xf numFmtId="49" fontId="51" fillId="0" borderId="0" applyFont="0" applyFill="0" applyBorder="0" applyAlignment="0" applyProtection="0"/>
    <xf numFmtId="0" fontId="56" fillId="10" borderId="42" applyNumberFormat="0" applyAlignment="0" applyProtection="0">
      <alignment vertical="center"/>
    </xf>
    <xf numFmtId="0" fontId="54" fillId="7"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64" fillId="0" borderId="46" applyProtection="0"/>
    <xf numFmtId="0" fontId="56" fillId="10" borderId="42" applyNumberFormat="0" applyAlignment="0" applyProtection="0">
      <alignment vertical="center"/>
    </xf>
    <xf numFmtId="1" fontId="9" fillId="0" borderId="4">
      <alignment vertical="center"/>
      <protection locked="0"/>
    </xf>
    <xf numFmtId="1" fontId="9" fillId="0" borderId="4">
      <alignment vertical="center"/>
      <protection locked="0"/>
    </xf>
    <xf numFmtId="0" fontId="67" fillId="0" borderId="7">
      <alignment horizontal="left" vertical="center"/>
    </xf>
    <xf numFmtId="0" fontId="71" fillId="15" borderId="0" applyNumberFormat="0" applyBorder="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68" fillId="15" borderId="0" applyNumberFormat="0" applyBorder="0" applyAlignment="0" applyProtection="0">
      <alignment vertical="center"/>
    </xf>
    <xf numFmtId="0" fontId="54" fillId="7" borderId="42" applyNumberFormat="0" applyAlignment="0" applyProtection="0">
      <alignment vertical="center"/>
    </xf>
    <xf numFmtId="0" fontId="55" fillId="5" borderId="0" applyNumberFormat="0" applyBorder="0" applyAlignment="0" applyProtection="0"/>
    <xf numFmtId="0" fontId="54" fillId="7" borderId="42" applyNumberFormat="0" applyAlignment="0" applyProtection="0">
      <alignment vertical="center"/>
    </xf>
    <xf numFmtId="0" fontId="63" fillId="0" borderId="44" applyNumberFormat="0" applyFill="0" applyAlignment="0" applyProtection="0">
      <alignment vertical="center"/>
    </xf>
    <xf numFmtId="49" fontId="51" fillId="0" borderId="0" applyFont="0" applyFill="0" applyBorder="0" applyAlignment="0" applyProtection="0">
      <alignment vertical="center"/>
    </xf>
    <xf numFmtId="0" fontId="56" fillId="10" borderId="42" applyNumberFormat="0" applyAlignment="0" applyProtection="0">
      <alignment vertical="center"/>
    </xf>
    <xf numFmtId="0" fontId="67" fillId="0" borderId="7">
      <alignment horizontal="left" vertical="center"/>
    </xf>
    <xf numFmtId="0" fontId="97" fillId="0" borderId="0">
      <alignment vertical="center"/>
    </xf>
    <xf numFmtId="0" fontId="58" fillId="10" borderId="45"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69" fillId="5" borderId="0" applyNumberFormat="0" applyBorder="0" applyAlignment="0" applyProtection="0">
      <alignment vertical="center"/>
    </xf>
    <xf numFmtId="1" fontId="9" fillId="0" borderId="4">
      <alignment vertical="center"/>
      <protection locked="0"/>
    </xf>
    <xf numFmtId="0" fontId="97" fillId="0" borderId="0">
      <protection locked="0"/>
    </xf>
    <xf numFmtId="0" fontId="56" fillId="10" borderId="42" applyNumberFormat="0" applyAlignment="0" applyProtection="0">
      <alignment vertical="center"/>
    </xf>
    <xf numFmtId="0" fontId="58" fillId="10" borderId="45" applyNumberForma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69" fillId="5" borderId="0" applyNumberFormat="0" applyBorder="0" applyAlignment="0" applyProtection="0">
      <alignment vertical="center"/>
    </xf>
    <xf numFmtId="0" fontId="97" fillId="0" borderId="0">
      <alignment vertical="center"/>
      <protection locked="0"/>
    </xf>
    <xf numFmtId="0" fontId="67" fillId="0" borderId="7">
      <alignment horizontal="left" vertical="center"/>
    </xf>
    <xf numFmtId="0" fontId="56" fillId="10" borderId="42" applyNumberFormat="0" applyAlignment="0" applyProtection="0">
      <alignment vertical="center"/>
    </xf>
    <xf numFmtId="0" fontId="77" fillId="0" borderId="0"/>
    <xf numFmtId="0" fontId="51" fillId="9" borderId="43" applyNumberFormat="0" applyFon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8" fillId="10" borderId="45" applyNumberFormat="0" applyAlignment="0" applyProtection="0">
      <alignment vertical="center"/>
    </xf>
    <xf numFmtId="0" fontId="60" fillId="7" borderId="42" applyNumberFormat="0" applyAlignment="0" applyProtection="0">
      <alignment vertical="center"/>
    </xf>
    <xf numFmtId="0" fontId="60" fillId="7" borderId="42" applyNumberFormat="0" applyAlignment="0" applyProtection="0">
      <alignment vertical="center"/>
    </xf>
    <xf numFmtId="0" fontId="77" fillId="0" borderId="0"/>
    <xf numFmtId="0" fontId="63" fillId="0" borderId="44" applyNumberFormat="0" applyFill="0" applyAlignment="0" applyProtection="0">
      <alignment vertical="center"/>
    </xf>
    <xf numFmtId="0" fontId="77" fillId="0" borderId="0">
      <alignment vertical="center"/>
    </xf>
    <xf numFmtId="0" fontId="65" fillId="10" borderId="45"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68" fillId="15" borderId="0" applyNumberFormat="0" applyBorder="0" applyAlignment="0" applyProtection="0">
      <alignment vertical="center"/>
    </xf>
    <xf numFmtId="0" fontId="66" fillId="22" borderId="0" applyNumberFormat="0" applyBorder="0" applyAlignment="0" applyProtection="0">
      <alignment vertical="center"/>
    </xf>
    <xf numFmtId="0" fontId="60" fillId="7" borderId="42" applyNumberFormat="0" applyAlignment="0" applyProtection="0">
      <alignment vertical="center"/>
    </xf>
    <xf numFmtId="0" fontId="73" fillId="0" borderId="0"/>
    <xf numFmtId="0" fontId="54" fillId="7"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66" fillId="22" borderId="0" applyNumberFormat="0" applyBorder="0" applyAlignment="0" applyProtection="0">
      <alignment vertical="center"/>
    </xf>
    <xf numFmtId="0" fontId="73" fillId="0" borderId="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5" fillId="11" borderId="0" applyNumberFormat="0" applyBorder="0" applyAlignment="0" applyProtection="0"/>
    <xf numFmtId="0" fontId="66" fillId="17" borderId="0" applyNumberFormat="0" applyBorder="0" applyAlignment="0" applyProtection="0">
      <alignment vertical="center"/>
    </xf>
    <xf numFmtId="0" fontId="58" fillId="10" borderId="45" applyNumberFormat="0" applyAlignment="0" applyProtection="0">
      <alignment vertical="center"/>
    </xf>
    <xf numFmtId="0" fontId="51" fillId="9" borderId="43" applyNumberFormat="0" applyFont="0" applyAlignment="0" applyProtection="0">
      <alignment vertical="center"/>
    </xf>
    <xf numFmtId="0" fontId="73" fillId="0" borderId="0">
      <alignment vertical="center"/>
    </xf>
    <xf numFmtId="0" fontId="59" fillId="9" borderId="4" applyNumberFormat="0" applyBorder="0" applyAlignment="0" applyProtection="0"/>
    <xf numFmtId="43" fontId="97" fillId="0" borderId="0" applyFont="0" applyFill="0" applyBorder="0" applyAlignment="0" applyProtection="0"/>
    <xf numFmtId="0" fontId="71" fillId="18" borderId="0" applyNumberFormat="0" applyBorder="0" applyAlignment="0" applyProtection="0">
      <alignment vertical="center"/>
    </xf>
    <xf numFmtId="0" fontId="59" fillId="9" borderId="4" applyNumberFormat="0" applyBorder="0" applyAlignment="0" applyProtection="0"/>
    <xf numFmtId="0" fontId="73" fillId="0" borderId="0"/>
    <xf numFmtId="0" fontId="54" fillId="7" borderId="42" applyNumberFormat="0" applyAlignment="0" applyProtection="0">
      <alignment vertical="center"/>
    </xf>
    <xf numFmtId="0" fontId="60" fillId="7" borderId="42" applyNumberFormat="0" applyAlignment="0" applyProtection="0">
      <alignment vertical="center"/>
    </xf>
    <xf numFmtId="1" fontId="9" fillId="0" borderId="4">
      <alignment vertical="center"/>
      <protection locked="0"/>
    </xf>
    <xf numFmtId="0" fontId="71" fillId="19" borderId="0" applyNumberFormat="0" applyBorder="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67" fillId="0" borderId="7">
      <alignment horizontal="lef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73" fillId="0" borderId="0">
      <alignment vertical="center"/>
    </xf>
    <xf numFmtId="0" fontId="54" fillId="7" borderId="42" applyNumberFormat="0" applyAlignment="0" applyProtection="0">
      <alignment vertical="center"/>
    </xf>
    <xf numFmtId="43" fontId="10" fillId="0" borderId="0" applyFont="0" applyFill="0" applyBorder="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67" fillId="0" borderId="7">
      <alignment horizontal="left" vertical="center"/>
    </xf>
    <xf numFmtId="0" fontId="71" fillId="18" borderId="0" applyNumberFormat="0" applyBorder="0" applyAlignment="0" applyProtection="0">
      <alignment vertical="center"/>
    </xf>
    <xf numFmtId="0" fontId="70" fillId="0" borderId="0"/>
    <xf numFmtId="0" fontId="56" fillId="10" borderId="42" applyNumberFormat="0" applyAlignment="0" applyProtection="0">
      <alignment vertical="center"/>
    </xf>
    <xf numFmtId="0" fontId="54" fillId="7" borderId="42" applyNumberFormat="0" applyAlignment="0" applyProtection="0">
      <alignment vertical="center"/>
    </xf>
    <xf numFmtId="0" fontId="97" fillId="0" borderId="2" applyNumberFormat="0" applyFill="0" applyProtection="0">
      <alignment horizontal="right"/>
    </xf>
    <xf numFmtId="0" fontId="70" fillId="0" borderId="0">
      <alignment vertical="center"/>
    </xf>
    <xf numFmtId="0" fontId="56" fillId="10" borderId="42" applyNumberFormat="0" applyAlignment="0" applyProtection="0">
      <alignment vertical="center"/>
    </xf>
    <xf numFmtId="0" fontId="97" fillId="0" borderId="2" applyNumberFormat="0" applyFill="0" applyProtection="0">
      <alignment horizontal="right"/>
    </xf>
    <xf numFmtId="0" fontId="56" fillId="10" borderId="42" applyNumberFormat="0" applyAlignment="0" applyProtection="0">
      <alignment vertical="center"/>
    </xf>
    <xf numFmtId="0" fontId="28" fillId="6" borderId="0" applyNumberFormat="0" applyBorder="0" applyAlignment="0" applyProtection="0"/>
    <xf numFmtId="0" fontId="10" fillId="6" borderId="0" applyNumberFormat="0" applyBorder="0" applyAlignment="0" applyProtection="0">
      <alignment vertical="center"/>
    </xf>
    <xf numFmtId="0" fontId="62" fillId="10" borderId="42" applyNumberFormat="0" applyAlignment="0" applyProtection="0">
      <alignment vertical="center"/>
    </xf>
    <xf numFmtId="0" fontId="69" fillId="23" borderId="0" applyNumberFormat="0" applyBorder="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77" fillId="0" borderId="0"/>
    <xf numFmtId="0" fontId="56" fillId="10" borderId="42" applyNumberFormat="0" applyAlignment="0" applyProtection="0">
      <alignment vertical="center"/>
    </xf>
    <xf numFmtId="0" fontId="59" fillId="9" borderId="4" applyNumberFormat="0" applyBorder="0" applyAlignment="0" applyProtection="0"/>
    <xf numFmtId="0" fontId="28" fillId="21" borderId="0" applyNumberFormat="0" applyBorder="0" applyAlignment="0" applyProtection="0"/>
    <xf numFmtId="0" fontId="51" fillId="0" borderId="0">
      <alignment vertical="center"/>
    </xf>
    <xf numFmtId="0" fontId="65" fillId="10" borderId="45"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63" fillId="0" borderId="44" applyNumberFormat="0" applyFill="0" applyAlignment="0" applyProtection="0">
      <alignment vertical="center"/>
    </xf>
    <xf numFmtId="0" fontId="77" fillId="0" borderId="0"/>
    <xf numFmtId="0" fontId="58" fillId="10" borderId="45" applyNumberFormat="0" applyAlignment="0" applyProtection="0">
      <alignment vertical="center"/>
    </xf>
    <xf numFmtId="0" fontId="28" fillId="21" borderId="0" applyNumberFormat="0" applyBorder="0" applyAlignment="0" applyProtection="0"/>
    <xf numFmtId="0" fontId="65" fillId="10" borderId="45"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73" fillId="0" borderId="0">
      <alignment vertical="center"/>
    </xf>
    <xf numFmtId="0" fontId="51" fillId="9" borderId="43" applyNumberFormat="0" applyFont="0" applyAlignment="0" applyProtection="0">
      <alignment vertical="center"/>
    </xf>
    <xf numFmtId="0" fontId="77" fillId="0" borderId="0">
      <alignment vertical="center"/>
    </xf>
    <xf numFmtId="0" fontId="58" fillId="10" borderId="45" applyNumberFormat="0" applyAlignment="0" applyProtection="0">
      <alignment vertical="center"/>
    </xf>
    <xf numFmtId="0" fontId="58" fillId="10" borderId="45" applyNumberFormat="0" applyAlignment="0" applyProtection="0">
      <alignment vertical="center"/>
    </xf>
    <xf numFmtId="0" fontId="28" fillId="21" borderId="0" applyNumberFormat="0" applyBorder="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66" fillId="17" borderId="0" applyNumberFormat="0" applyBorder="0" applyAlignment="0" applyProtection="0">
      <alignment vertical="center"/>
    </xf>
    <xf numFmtId="0" fontId="62" fillId="10" borderId="42" applyNumberFormat="0" applyAlignment="0" applyProtection="0">
      <alignment vertical="center"/>
    </xf>
    <xf numFmtId="1" fontId="9" fillId="0" borderId="4">
      <alignment vertical="center"/>
      <protection locked="0"/>
    </xf>
    <xf numFmtId="0" fontId="70" fillId="0" borderId="0">
      <alignment vertical="center"/>
    </xf>
    <xf numFmtId="0" fontId="55" fillId="13" borderId="0" applyNumberFormat="0" applyBorder="0" applyAlignment="0" applyProtection="0"/>
    <xf numFmtId="0" fontId="56" fillId="10" borderId="42" applyNumberFormat="0" applyAlignment="0" applyProtection="0">
      <alignment vertical="center"/>
    </xf>
    <xf numFmtId="0" fontId="64" fillId="0" borderId="46" applyProtection="0"/>
    <xf numFmtId="0" fontId="56" fillId="10" borderId="42" applyNumberFormat="0" applyAlignment="0" applyProtection="0">
      <alignment vertical="center"/>
    </xf>
    <xf numFmtId="0" fontId="58" fillId="10" borderId="45" applyNumberFormat="0" applyAlignment="0" applyProtection="0">
      <alignment vertical="center"/>
    </xf>
    <xf numFmtId="0" fontId="77" fillId="0" borderId="0"/>
    <xf numFmtId="0" fontId="58" fillId="10" borderId="45" applyNumberFormat="0" applyAlignment="0" applyProtection="0">
      <alignment vertical="center"/>
    </xf>
    <xf numFmtId="0" fontId="56" fillId="10" borderId="42" applyNumberFormat="0" applyAlignment="0" applyProtection="0">
      <alignment vertical="center"/>
    </xf>
    <xf numFmtId="0" fontId="71" fillId="7" borderId="0" applyNumberFormat="0" applyBorder="0" applyAlignment="0" applyProtection="0">
      <alignment vertical="center"/>
    </xf>
    <xf numFmtId="0" fontId="55" fillId="14" borderId="0" applyNumberFormat="0" applyBorder="0" applyAlignment="0" applyProtection="0"/>
    <xf numFmtId="0" fontId="28" fillId="9" borderId="0" applyNumberFormat="0" applyBorder="0" applyAlignment="0" applyProtection="0">
      <alignment vertical="center"/>
    </xf>
    <xf numFmtId="0" fontId="10" fillId="24" borderId="0" applyNumberFormat="0" applyBorder="0" applyAlignment="0" applyProtection="0">
      <alignment horizontal="center" vertical="center"/>
    </xf>
    <xf numFmtId="0" fontId="65" fillId="10" borderId="45" applyNumberFormat="0" applyAlignment="0" applyProtection="0">
      <alignment vertical="center"/>
    </xf>
    <xf numFmtId="1" fontId="9" fillId="0" borderId="4">
      <alignment vertical="center"/>
      <protection locked="0"/>
    </xf>
    <xf numFmtId="0" fontId="73" fillId="0" borderId="0">
      <alignment vertical="center"/>
    </xf>
    <xf numFmtId="0" fontId="59" fillId="9" borderId="4" applyNumberFormat="0" applyBorder="0" applyAlignment="0" applyProtection="0"/>
    <xf numFmtId="0" fontId="60" fillId="7" borderId="42" applyNumberFormat="0" applyAlignment="0" applyProtection="0">
      <alignment vertical="center"/>
    </xf>
    <xf numFmtId="0" fontId="59" fillId="9" borderId="4" applyNumberFormat="0" applyBorder="0" applyAlignment="0" applyProtection="0"/>
    <xf numFmtId="0" fontId="62"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62" fillId="10" borderId="42" applyNumberFormat="0" applyAlignment="0" applyProtection="0">
      <alignment vertical="center"/>
    </xf>
    <xf numFmtId="0" fontId="73" fillId="0" borderId="0">
      <alignment vertical="center"/>
    </xf>
    <xf numFmtId="0" fontId="60" fillId="7" borderId="42" applyNumberFormat="0" applyAlignment="0" applyProtection="0">
      <alignment vertical="center"/>
    </xf>
    <xf numFmtId="0" fontId="71" fillId="7" borderId="0" applyNumberFormat="0" applyBorder="0" applyAlignment="0" applyProtection="0">
      <alignment vertical="center"/>
    </xf>
    <xf numFmtId="0" fontId="54" fillId="7" borderId="42" applyNumberFormat="0" applyAlignment="0" applyProtection="0">
      <alignment vertical="center"/>
    </xf>
    <xf numFmtId="0" fontId="51" fillId="9" borderId="43" applyNumberFormat="0" applyFon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73" fillId="0" borderId="0">
      <alignment vertical="center"/>
    </xf>
    <xf numFmtId="0" fontId="58" fillId="10" borderId="45" applyNumberFormat="0" applyAlignment="0" applyProtection="0">
      <alignment vertical="center"/>
    </xf>
    <xf numFmtId="0" fontId="55" fillId="18" borderId="0" applyNumberFormat="0" applyBorder="0" applyAlignment="0" applyProtection="0"/>
    <xf numFmtId="0" fontId="54" fillId="7" borderId="42" applyNumberFormat="0" applyAlignment="0" applyProtection="0">
      <alignment vertical="center"/>
    </xf>
    <xf numFmtId="0" fontId="67" fillId="0" borderId="7">
      <alignment horizontal="left" vertical="center"/>
    </xf>
    <xf numFmtId="0" fontId="56" fillId="10" borderId="42" applyNumberFormat="0" applyAlignment="0" applyProtection="0">
      <alignment vertical="center"/>
    </xf>
    <xf numFmtId="0" fontId="55" fillId="14" borderId="0" applyNumberFormat="0" applyBorder="0" applyAlignment="0" applyProtection="0"/>
    <xf numFmtId="0" fontId="51" fillId="9" borderId="43" applyNumberFormat="0" applyFont="0" applyAlignment="0" applyProtection="0">
      <alignment vertical="center"/>
    </xf>
    <xf numFmtId="0" fontId="54" fillId="7" borderId="42" applyNumberFormat="0" applyAlignment="0" applyProtection="0">
      <alignment vertical="center"/>
    </xf>
    <xf numFmtId="0" fontId="58" fillId="10" borderId="45" applyNumberFormat="0" applyAlignment="0" applyProtection="0">
      <alignment vertical="center"/>
    </xf>
    <xf numFmtId="0" fontId="54" fillId="7" borderId="42" applyNumberFormat="0" applyAlignment="0" applyProtection="0">
      <alignment vertical="center"/>
    </xf>
    <xf numFmtId="0" fontId="73" fillId="0" borderId="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69" fillId="25" borderId="0" applyNumberFormat="0" applyBorder="0" applyAlignment="0" applyProtection="0">
      <alignment vertical="center"/>
    </xf>
    <xf numFmtId="0" fontId="54" fillId="7" borderId="42" applyNumberFormat="0" applyAlignment="0" applyProtection="0">
      <alignment vertical="center"/>
    </xf>
    <xf numFmtId="0" fontId="51" fillId="9" borderId="43" applyNumberFormat="0" applyFont="0" applyAlignment="0" applyProtection="0">
      <alignment vertical="center"/>
    </xf>
    <xf numFmtId="0" fontId="64" fillId="0" borderId="46" applyProtection="0"/>
    <xf numFmtId="0" fontId="63" fillId="0" borderId="44" applyNumberFormat="0" applyFill="0" applyAlignment="0" applyProtection="0">
      <alignment vertical="center"/>
    </xf>
    <xf numFmtId="0" fontId="56" fillId="10" borderId="42" applyNumberFormat="0" applyAlignment="0" applyProtection="0">
      <alignment vertical="center"/>
    </xf>
    <xf numFmtId="0" fontId="55" fillId="8" borderId="0" applyNumberFormat="0" applyBorder="0" applyAlignment="0" applyProtection="0"/>
    <xf numFmtId="0" fontId="64" fillId="0" borderId="46" applyProtection="0"/>
    <xf numFmtId="0" fontId="73" fillId="0" borderId="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4" fillId="7" borderId="42" applyNumberFormat="0" applyAlignment="0" applyProtection="0">
      <alignment vertical="center"/>
    </xf>
    <xf numFmtId="0" fontId="10" fillId="26" borderId="0" applyNumberFormat="0" applyBorder="0" applyAlignment="0" applyProtection="0">
      <alignment horizontal="center" vertical="center"/>
    </xf>
    <xf numFmtId="0" fontId="57" fillId="0" borderId="44" applyNumberFormat="0" applyFill="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64" fillId="0" borderId="46" applyProtection="0"/>
    <xf numFmtId="178" fontId="9" fillId="0" borderId="4">
      <alignment vertical="center"/>
      <protection locked="0"/>
    </xf>
    <xf numFmtId="0" fontId="67" fillId="0" borderId="7">
      <alignment horizontal="left" vertical="center"/>
    </xf>
    <xf numFmtId="0" fontId="73" fillId="0" borderId="0">
      <alignment vertical="center"/>
    </xf>
    <xf numFmtId="0" fontId="58" fillId="10" borderId="45"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61" fillId="12" borderId="0" applyNumberFormat="0" applyBorder="0" applyAlignment="0" applyProtection="0">
      <alignment vertical="center"/>
    </xf>
    <xf numFmtId="0" fontId="51" fillId="9" borderId="43" applyNumberFormat="0" applyFont="0" applyAlignment="0" applyProtection="0">
      <alignment vertical="center"/>
    </xf>
    <xf numFmtId="0" fontId="66" fillId="25" borderId="0" applyNumberFormat="0" applyBorder="0" applyAlignment="0" applyProtection="0">
      <alignment vertical="center"/>
    </xf>
    <xf numFmtId="0" fontId="51" fillId="9" borderId="43" applyNumberFormat="0" applyFon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60" fillId="7" borderId="42" applyNumberFormat="0" applyAlignment="0" applyProtection="0">
      <alignment vertical="center"/>
    </xf>
    <xf numFmtId="0" fontId="54" fillId="7" borderId="42" applyNumberFormat="0" applyAlignment="0" applyProtection="0">
      <alignment vertical="center"/>
    </xf>
    <xf numFmtId="0" fontId="51" fillId="9" borderId="43" applyNumberFormat="0" applyFont="0" applyAlignment="0" applyProtection="0">
      <alignment vertical="center"/>
    </xf>
    <xf numFmtId="0" fontId="66" fillId="18" borderId="0" applyNumberFormat="0" applyBorder="0" applyAlignment="0" applyProtection="0">
      <alignment horizontal="center" vertical="center"/>
    </xf>
    <xf numFmtId="0" fontId="51" fillId="9" borderId="43" applyNumberFormat="0" applyFon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64" fillId="0" borderId="46" applyProtection="0"/>
    <xf numFmtId="0" fontId="67" fillId="0" borderId="7">
      <alignment horizontal="left" vertical="center"/>
    </xf>
    <xf numFmtId="0" fontId="73" fillId="0" borderId="0">
      <alignment vertical="center"/>
    </xf>
    <xf numFmtId="0" fontId="28" fillId="6" borderId="0" applyNumberFormat="0" applyBorder="0" applyAlignment="0" applyProtection="0"/>
    <xf numFmtId="0" fontId="58" fillId="10" borderId="45" applyNumberFormat="0" applyAlignment="0" applyProtection="0">
      <alignment vertical="center"/>
    </xf>
    <xf numFmtId="0" fontId="54" fillId="7" borderId="42" applyNumberFormat="0" applyAlignment="0" applyProtection="0">
      <alignment vertical="center"/>
    </xf>
    <xf numFmtId="0" fontId="71" fillId="12" borderId="0" applyNumberFormat="0" applyBorder="0" applyAlignment="0" applyProtection="0">
      <alignment vertical="center"/>
    </xf>
    <xf numFmtId="0" fontId="67" fillId="0" borderId="7">
      <alignment horizontal="lef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10" fillId="18" borderId="0" applyNumberFormat="0" applyBorder="0" applyAlignment="0" applyProtection="0">
      <alignment vertical="center"/>
    </xf>
    <xf numFmtId="0" fontId="80" fillId="0" borderId="1" applyNumberFormat="0" applyFill="0" applyProtection="0">
      <alignment horizontal="left"/>
    </xf>
    <xf numFmtId="0" fontId="60" fillId="7" borderId="42" applyNumberFormat="0" applyAlignment="0" applyProtection="0">
      <alignment vertical="center"/>
    </xf>
    <xf numFmtId="0" fontId="73" fillId="0" borderId="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64" fillId="0" borderId="46" applyProtection="0"/>
    <xf numFmtId="0" fontId="73" fillId="0" borderId="0">
      <alignment vertical="center"/>
    </xf>
    <xf numFmtId="0" fontId="56" fillId="10" borderId="42" applyNumberFormat="0" applyAlignment="0" applyProtection="0">
      <alignment vertical="center"/>
    </xf>
    <xf numFmtId="0" fontId="62" fillId="10" borderId="42" applyNumberFormat="0" applyAlignment="0" applyProtection="0">
      <alignment vertical="center"/>
    </xf>
    <xf numFmtId="0" fontId="56" fillId="10" borderId="42" applyNumberFormat="0" applyAlignment="0" applyProtection="0">
      <alignment vertical="center"/>
    </xf>
    <xf numFmtId="0" fontId="71" fillId="18" borderId="0" applyNumberFormat="0" applyBorder="0" applyAlignment="0" applyProtection="0">
      <alignment vertical="center"/>
    </xf>
    <xf numFmtId="0" fontId="10" fillId="20" borderId="0" applyNumberFormat="0" applyBorder="0" applyAlignment="0" applyProtection="0">
      <alignment vertical="center"/>
    </xf>
    <xf numFmtId="0" fontId="80" fillId="0" borderId="1" applyNumberFormat="0" applyFill="0" applyProtection="0">
      <alignment horizontal="left"/>
    </xf>
    <xf numFmtId="0" fontId="65" fillId="10" borderId="45" applyNumberFormat="0" applyAlignment="0" applyProtection="0">
      <alignment vertical="center"/>
    </xf>
    <xf numFmtId="0" fontId="60" fillId="7" borderId="42" applyNumberFormat="0" applyAlignment="0" applyProtection="0">
      <alignment vertical="center"/>
    </xf>
    <xf numFmtId="0" fontId="59" fillId="9" borderId="4" applyNumberFormat="0" applyBorder="0" applyAlignment="0" applyProtection="0"/>
    <xf numFmtId="0" fontId="54" fillId="7" borderId="42" applyNumberFormat="0" applyAlignment="0" applyProtection="0">
      <alignment vertical="center"/>
    </xf>
    <xf numFmtId="0" fontId="73" fillId="0" borderId="0"/>
    <xf numFmtId="0" fontId="59" fillId="9" borderId="4" applyNumberFormat="0" applyBorder="0" applyAlignment="0" applyProtection="0"/>
    <xf numFmtId="0" fontId="54" fillId="7"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65" fillId="10" borderId="45" applyNumberFormat="0" applyAlignment="0" applyProtection="0">
      <alignment vertical="center"/>
    </xf>
    <xf numFmtId="0" fontId="10" fillId="20" borderId="0" applyNumberFormat="0" applyBorder="0" applyAlignment="0" applyProtection="0">
      <alignment vertical="center"/>
    </xf>
    <xf numFmtId="0" fontId="80" fillId="0" borderId="1" applyNumberFormat="0" applyFill="0" applyProtection="0">
      <alignment horizontal="left"/>
    </xf>
    <xf numFmtId="0" fontId="60" fillId="7" borderId="42" applyNumberFormat="0" applyAlignment="0" applyProtection="0">
      <alignment vertical="center"/>
    </xf>
    <xf numFmtId="0" fontId="73" fillId="0" borderId="0">
      <alignment vertical="center"/>
    </xf>
    <xf numFmtId="0" fontId="59" fillId="9" borderId="4" applyNumberFormat="0" applyBorder="0" applyAlignment="0" applyProtection="0"/>
    <xf numFmtId="0" fontId="76" fillId="15" borderId="0" applyNumberFormat="0" applyBorder="0" applyAlignment="0" applyProtection="0">
      <alignment vertical="center"/>
    </xf>
    <xf numFmtId="0" fontId="28" fillId="6" borderId="0" applyNumberFormat="0" applyBorder="0" applyAlignment="0" applyProtection="0"/>
    <xf numFmtId="0" fontId="10" fillId="6" borderId="0" applyNumberFormat="0" applyBorder="0" applyAlignment="0" applyProtection="0">
      <alignment vertical="center"/>
    </xf>
    <xf numFmtId="0" fontId="69" fillId="23" borderId="0" applyNumberFormat="0" applyBorder="0" applyAlignment="0" applyProtection="0">
      <alignment vertical="center"/>
    </xf>
    <xf numFmtId="0" fontId="60" fillId="7" borderId="42" applyNumberFormat="0" applyAlignment="0" applyProtection="0">
      <alignment vertical="center"/>
    </xf>
    <xf numFmtId="0" fontId="77" fillId="0" borderId="0"/>
    <xf numFmtId="0" fontId="62" fillId="10" borderId="42" applyNumberFormat="0" applyAlignment="0" applyProtection="0">
      <alignment vertical="center"/>
    </xf>
    <xf numFmtId="0" fontId="28" fillId="6" borderId="0" applyNumberFormat="0" applyBorder="0" applyAlignment="0" applyProtection="0"/>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58" fillId="10" borderId="45" applyNumberFormat="0" applyAlignment="0" applyProtection="0">
      <alignment vertical="center"/>
    </xf>
    <xf numFmtId="0" fontId="69" fillId="23" borderId="0" applyNumberFormat="0" applyBorder="0" applyAlignment="0" applyProtection="0">
      <alignment vertical="center"/>
    </xf>
    <xf numFmtId="0" fontId="77" fillId="0" borderId="0"/>
    <xf numFmtId="0" fontId="28" fillId="6" borderId="0" applyNumberFormat="0" applyBorder="0" applyAlignment="0" applyProtection="0">
      <alignment vertical="center"/>
    </xf>
    <xf numFmtId="0" fontId="10" fillId="21" borderId="0" applyNumberFormat="0" applyBorder="0" applyAlignment="0" applyProtection="0">
      <alignment horizontal="center" vertical="center"/>
    </xf>
    <xf numFmtId="0" fontId="73" fillId="0" borderId="0">
      <alignment vertical="center"/>
      <protection locked="0"/>
    </xf>
    <xf numFmtId="0" fontId="77" fillId="0" borderId="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64" fillId="0" borderId="46" applyProtection="0"/>
    <xf numFmtId="0" fontId="70" fillId="0" borderId="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63" fillId="0" borderId="44" applyNumberFormat="0" applyFill="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8" fillId="10" borderId="45" applyNumberFormat="0" applyAlignment="0" applyProtection="0">
      <alignment vertical="center"/>
    </xf>
    <xf numFmtId="0" fontId="59" fillId="9" borderId="4" applyNumberFormat="0" applyBorder="0" applyAlignment="0" applyProtection="0"/>
    <xf numFmtId="0" fontId="73" fillId="0" borderId="0"/>
    <xf numFmtId="0" fontId="54" fillId="7" borderId="42"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8" fillId="10" borderId="45" applyNumberFormat="0" applyAlignment="0" applyProtection="0">
      <alignment vertical="center"/>
    </xf>
    <xf numFmtId="0" fontId="59" fillId="9" borderId="4" applyNumberFormat="0" applyBorder="0" applyAlignment="0" applyProtection="0"/>
    <xf numFmtId="0" fontId="70" fillId="0" borderId="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97" fillId="0" borderId="0">
      <alignment vertical="center"/>
    </xf>
    <xf numFmtId="0" fontId="97" fillId="0" borderId="0" applyNumberFormat="0" applyFill="0" applyBorder="0" applyAlignment="0" applyProtection="0">
      <alignment vertical="center"/>
    </xf>
    <xf numFmtId="0" fontId="51" fillId="27" borderId="0" applyNumberFormat="0" applyFont="0" applyBorder="0" applyAlignment="0" applyProtection="0"/>
    <xf numFmtId="0" fontId="54" fillId="7" borderId="42" applyNumberFormat="0" applyAlignment="0" applyProtection="0">
      <alignment vertical="center"/>
    </xf>
    <xf numFmtId="0" fontId="54" fillId="7" borderId="42" applyNumberFormat="0" applyAlignment="0" applyProtection="0">
      <alignment vertical="center"/>
    </xf>
    <xf numFmtId="0" fontId="97" fillId="0" borderId="0" applyNumberFormat="0" applyFill="0" applyBorder="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4" fillId="7" borderId="42" applyNumberFormat="0" applyAlignment="0" applyProtection="0">
      <alignment vertical="center"/>
    </xf>
    <xf numFmtId="0" fontId="69" fillId="25" borderId="0" applyNumberFormat="0" applyBorder="0" applyAlignment="0" applyProtection="0">
      <alignment vertical="center"/>
    </xf>
    <xf numFmtId="0" fontId="62" fillId="10" borderId="42" applyNumberFormat="0" applyAlignment="0" applyProtection="0">
      <alignment vertical="center"/>
    </xf>
    <xf numFmtId="1" fontId="9" fillId="0" borderId="4">
      <alignment vertical="center"/>
      <protection locked="0"/>
    </xf>
    <xf numFmtId="0" fontId="54" fillId="7" borderId="42" applyNumberFormat="0" applyAlignment="0" applyProtection="0">
      <alignment vertical="center"/>
    </xf>
    <xf numFmtId="0" fontId="58" fillId="10" borderId="45" applyNumberFormat="0" applyAlignment="0" applyProtection="0">
      <alignment vertical="center"/>
    </xf>
    <xf numFmtId="0" fontId="54" fillId="7" borderId="42" applyNumberFormat="0" applyAlignment="0" applyProtection="0">
      <alignment vertical="center"/>
    </xf>
    <xf numFmtId="0" fontId="97" fillId="0" borderId="0"/>
    <xf numFmtId="0" fontId="56" fillId="10" borderId="42" applyNumberFormat="0" applyAlignment="0" applyProtection="0">
      <alignment vertical="center"/>
    </xf>
    <xf numFmtId="1" fontId="9" fillId="0" borderId="4">
      <alignment vertical="center"/>
      <protection locked="0"/>
    </xf>
    <xf numFmtId="0" fontId="56" fillId="10" borderId="42" applyNumberFormat="0" applyAlignment="0" applyProtection="0">
      <alignment vertical="center"/>
    </xf>
    <xf numFmtId="0" fontId="69" fillId="25" borderId="0" applyNumberFormat="0" applyBorder="0" applyAlignment="0" applyProtection="0">
      <alignment vertical="center"/>
    </xf>
    <xf numFmtId="0" fontId="54" fillId="7" borderId="42" applyNumberFormat="0" applyAlignment="0" applyProtection="0">
      <alignment vertical="center"/>
    </xf>
    <xf numFmtId="0" fontId="60" fillId="7" borderId="42" applyNumberFormat="0" applyAlignment="0" applyProtection="0">
      <alignment vertical="center"/>
    </xf>
    <xf numFmtId="0" fontId="54" fillId="7" borderId="42" applyNumberFormat="0" applyAlignment="0" applyProtection="0">
      <alignment vertical="center"/>
    </xf>
    <xf numFmtId="0" fontId="97" fillId="0" borderId="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7" fillId="0" borderId="44" applyNumberFormat="0" applyFill="0" applyAlignment="0" applyProtection="0">
      <alignment vertical="center"/>
    </xf>
    <xf numFmtId="0" fontId="56" fillId="10" borderId="42" applyNumberFormat="0" applyAlignment="0" applyProtection="0">
      <alignment vertical="center"/>
    </xf>
    <xf numFmtId="0" fontId="70" fillId="0" borderId="0"/>
    <xf numFmtId="0" fontId="54" fillId="7" borderId="42" applyNumberFormat="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64" fillId="0" borderId="46" applyProtection="0"/>
    <xf numFmtId="0" fontId="70" fillId="0" borderId="0">
      <alignment vertical="center"/>
    </xf>
    <xf numFmtId="0" fontId="59" fillId="9" borderId="4" applyNumberFormat="0" applyBorder="0" applyAlignment="0" applyProtection="0"/>
    <xf numFmtId="0" fontId="54" fillId="7" borderId="42" applyNumberFormat="0" applyAlignment="0" applyProtection="0">
      <alignment vertical="center"/>
    </xf>
    <xf numFmtId="0" fontId="97" fillId="0" borderId="0">
      <alignment vertical="center"/>
    </xf>
    <xf numFmtId="0" fontId="59" fillId="9" borderId="4" applyNumberFormat="0" applyBorder="0" applyAlignment="0" applyProtection="0"/>
    <xf numFmtId="0" fontId="54" fillId="7" borderId="42" applyNumberFormat="0" applyAlignment="0" applyProtection="0">
      <alignment vertical="center"/>
    </xf>
    <xf numFmtId="0" fontId="60" fillId="7" borderId="42" applyNumberFormat="0" applyAlignment="0" applyProtection="0">
      <alignment vertical="center"/>
    </xf>
    <xf numFmtId="0" fontId="69" fillId="16" borderId="0" applyNumberFormat="0" applyBorder="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66" fillId="5" borderId="0" applyNumberFormat="0" applyBorder="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63" fillId="0" borderId="44" applyNumberFormat="0" applyFill="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97" fillId="0" borderId="0"/>
    <xf numFmtId="176" fontId="97" fillId="0" borderId="1" applyFill="0" applyProtection="0">
      <alignment horizontal="right"/>
    </xf>
    <xf numFmtId="0" fontId="66" fillId="8" borderId="0" applyNumberFormat="0" applyBorder="0" applyAlignment="0" applyProtection="0">
      <alignment vertical="center"/>
    </xf>
    <xf numFmtId="0" fontId="55" fillId="14" borderId="0" applyNumberFormat="0" applyBorder="0" applyAlignment="0" applyProtection="0"/>
    <xf numFmtId="41" fontId="51" fillId="0" borderId="0" applyFont="0" applyFill="0" applyBorder="0" applyAlignment="0" applyProtection="0"/>
    <xf numFmtId="43" fontId="97" fillId="0" borderId="0" applyFont="0" applyFill="0" applyBorder="0" applyAlignment="0" applyProtection="0"/>
    <xf numFmtId="0" fontId="60" fillId="7" borderId="42" applyNumberFormat="0" applyAlignment="0" applyProtection="0">
      <alignment vertical="center"/>
    </xf>
    <xf numFmtId="0" fontId="97" fillId="0" borderId="0">
      <alignment vertical="center"/>
    </xf>
    <xf numFmtId="0" fontId="59" fillId="9" borderId="4" applyNumberFormat="0" applyBorder="0" applyAlignment="0" applyProtection="0"/>
    <xf numFmtId="0" fontId="57" fillId="0" borderId="44" applyNumberFormat="0" applyFill="0" applyAlignment="0" applyProtection="0">
      <alignment vertical="center"/>
    </xf>
    <xf numFmtId="0" fontId="57" fillId="0" borderId="44" applyNumberFormat="0" applyFill="0" applyAlignment="0" applyProtection="0">
      <alignment vertical="center"/>
    </xf>
    <xf numFmtId="0" fontId="56" fillId="10" borderId="42" applyNumberFormat="0" applyAlignment="0" applyProtection="0">
      <alignment vertical="center"/>
    </xf>
    <xf numFmtId="0" fontId="55" fillId="5" borderId="0" applyNumberFormat="0" applyBorder="0" applyAlignment="0" applyProtection="0"/>
    <xf numFmtId="0" fontId="97" fillId="0" borderId="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60" fillId="7" borderId="42" applyNumberFormat="0" applyAlignment="0" applyProtection="0">
      <alignment vertical="center"/>
    </xf>
    <xf numFmtId="0" fontId="62"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62" fillId="10" borderId="42" applyNumberFormat="0" applyAlignment="0" applyProtection="0">
      <alignment vertical="center"/>
    </xf>
    <xf numFmtId="0" fontId="81" fillId="12" borderId="0" applyNumberFormat="0" applyBorder="0" applyAlignment="0" applyProtection="0">
      <alignment vertical="center"/>
    </xf>
    <xf numFmtId="0" fontId="70" fillId="0" borderId="0">
      <alignment vertical="center"/>
    </xf>
    <xf numFmtId="0" fontId="54" fillId="7" borderId="42" applyNumberFormat="0" applyAlignment="0" applyProtection="0">
      <alignment vertical="center"/>
    </xf>
    <xf numFmtId="0" fontId="67" fillId="0" borderId="7">
      <alignment horizontal="left" vertical="center"/>
    </xf>
    <xf numFmtId="0" fontId="97" fillId="0" borderId="2" applyNumberFormat="0" applyFill="0" applyProtection="0">
      <alignment horizontal="right"/>
    </xf>
    <xf numFmtId="0" fontId="54" fillId="7" borderId="42" applyNumberFormat="0" applyAlignment="0" applyProtection="0">
      <alignment vertical="center"/>
    </xf>
    <xf numFmtId="0" fontId="97" fillId="0" borderId="0" applyNumberFormat="0" applyFill="0" applyBorder="0" applyAlignment="0" applyProtection="0">
      <alignment vertical="center"/>
    </xf>
    <xf numFmtId="0" fontId="51" fillId="9" borderId="43" applyNumberFormat="0" applyFont="0" applyAlignment="0" applyProtection="0">
      <alignment vertical="center"/>
    </xf>
    <xf numFmtId="0" fontId="54" fillId="7" borderId="42" applyNumberFormat="0" applyAlignment="0" applyProtection="0">
      <alignment vertical="center"/>
    </xf>
    <xf numFmtId="0" fontId="59" fillId="9" borderId="4" applyNumberFormat="0" applyBorder="0" applyAlignment="0" applyProtection="0"/>
    <xf numFmtId="0" fontId="58" fillId="10" borderId="45" applyNumberFormat="0" applyAlignment="0" applyProtection="0">
      <alignment vertical="center"/>
    </xf>
    <xf numFmtId="0" fontId="97" fillId="0" borderId="0"/>
    <xf numFmtId="0" fontId="54" fillId="7" borderId="42" applyNumberFormat="0" applyAlignment="0" applyProtection="0">
      <alignment vertical="center"/>
    </xf>
    <xf numFmtId="0" fontId="60" fillId="7"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10" fillId="28" borderId="0" applyNumberFormat="0" applyBorder="0" applyAlignment="0" applyProtection="0">
      <alignment vertical="center"/>
    </xf>
    <xf numFmtId="0" fontId="82" fillId="0" borderId="0" applyNumberFormat="0" applyFill="0" applyBorder="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97" fillId="0" borderId="0">
      <alignment vertical="center"/>
    </xf>
    <xf numFmtId="0" fontId="60" fillId="7" borderId="42" applyNumberFormat="0" applyAlignment="0" applyProtection="0">
      <alignment vertical="center"/>
    </xf>
    <xf numFmtId="0" fontId="10" fillId="28" borderId="0" applyNumberFormat="0" applyBorder="0" applyAlignment="0" applyProtection="0">
      <alignment vertical="center"/>
    </xf>
    <xf numFmtId="0" fontId="83" fillId="12" borderId="0" applyNumberFormat="0" applyBorder="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97" fillId="0" borderId="0"/>
    <xf numFmtId="0" fontId="58" fillId="10" borderId="45" applyNumberFormat="0" applyAlignment="0" applyProtection="0">
      <alignment vertical="center"/>
    </xf>
    <xf numFmtId="0" fontId="71" fillId="6" borderId="0" applyNumberFormat="0" applyBorder="0" applyAlignment="0" applyProtection="0">
      <alignment vertical="center"/>
    </xf>
    <xf numFmtId="0" fontId="58" fillId="10" borderId="45" applyNumberFormat="0" applyAlignment="0" applyProtection="0">
      <alignment vertical="center"/>
    </xf>
    <xf numFmtId="0" fontId="97" fillId="0" borderId="0">
      <alignment vertical="center"/>
    </xf>
    <xf numFmtId="0" fontId="54" fillId="7" borderId="42" applyNumberFormat="0" applyAlignment="0" applyProtection="0">
      <alignment vertical="center"/>
    </xf>
    <xf numFmtId="0" fontId="58" fillId="10" borderId="45" applyNumberFormat="0" applyAlignment="0" applyProtection="0">
      <alignment vertical="center"/>
    </xf>
    <xf numFmtId="0" fontId="71" fillId="6" borderId="0" applyNumberFormat="0" applyBorder="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97" fillId="0" borderId="0"/>
    <xf numFmtId="0" fontId="71" fillId="12" borderId="0" applyNumberFormat="0" applyBorder="0" applyAlignment="0" applyProtection="0">
      <alignment vertical="center"/>
    </xf>
    <xf numFmtId="0" fontId="58" fillId="10" borderId="45" applyNumberFormat="0" applyAlignment="0" applyProtection="0">
      <alignment vertical="center"/>
    </xf>
    <xf numFmtId="0" fontId="97" fillId="0" borderId="0">
      <alignment vertical="center"/>
    </xf>
    <xf numFmtId="0" fontId="71" fillId="12" borderId="0" applyNumberFormat="0" applyBorder="0" applyAlignment="0" applyProtection="0">
      <alignment vertical="center"/>
    </xf>
    <xf numFmtId="0" fontId="58" fillId="10" borderId="45" applyNumberFormat="0" applyAlignment="0" applyProtection="0">
      <alignment vertical="center"/>
    </xf>
    <xf numFmtId="0" fontId="73" fillId="0" borderId="0">
      <alignment vertical="center"/>
    </xf>
    <xf numFmtId="0" fontId="74" fillId="0" borderId="48" applyNumberFormat="0" applyFill="0" applyAlignment="0" applyProtection="0">
      <alignment vertical="center"/>
    </xf>
    <xf numFmtId="0" fontId="54" fillId="7" borderId="42" applyNumberFormat="0" applyAlignment="0" applyProtection="0">
      <alignment vertical="center"/>
    </xf>
    <xf numFmtId="0" fontId="71" fillId="28" borderId="0" applyNumberFormat="0" applyBorder="0" applyAlignment="0" applyProtection="0">
      <alignment vertical="center"/>
    </xf>
    <xf numFmtId="0" fontId="60"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1" fillId="0" borderId="0"/>
    <xf numFmtId="0" fontId="67" fillId="0" borderId="7">
      <alignment horizontal="left" vertical="center"/>
    </xf>
    <xf numFmtId="0" fontId="55" fillId="11" borderId="0" applyNumberFormat="0" applyBorder="0" applyAlignment="0" applyProtection="0"/>
    <xf numFmtId="0" fontId="55" fillId="11" borderId="0" applyNumberFormat="0" applyBorder="0" applyAlignment="0" applyProtection="0"/>
    <xf numFmtId="0" fontId="69" fillId="23" borderId="0" applyNumberFormat="0" applyBorder="0" applyAlignment="0" applyProtection="0">
      <alignment vertical="center"/>
    </xf>
    <xf numFmtId="0" fontId="10" fillId="12" borderId="0" applyNumberFormat="0" applyBorder="0" applyAlignment="0" applyProtection="0">
      <alignment vertical="center"/>
    </xf>
    <xf numFmtId="0" fontId="54" fillId="7" borderId="42" applyNumberFormat="0" applyAlignment="0" applyProtection="0">
      <alignment vertical="center"/>
    </xf>
    <xf numFmtId="0" fontId="55" fillId="11" borderId="0" applyNumberFormat="0" applyBorder="0" applyAlignment="0" applyProtection="0"/>
    <xf numFmtId="1" fontId="9" fillId="0" borderId="4">
      <alignment vertical="center"/>
      <protection locked="0"/>
    </xf>
    <xf numFmtId="0" fontId="56" fillId="10" borderId="42" applyNumberFormat="0" applyAlignment="0" applyProtection="0">
      <alignment vertical="center"/>
    </xf>
    <xf numFmtId="0" fontId="69" fillId="20" borderId="0" applyNumberFormat="0" applyBorder="0" applyAlignment="0" applyProtection="0">
      <alignment vertical="center"/>
    </xf>
    <xf numFmtId="0" fontId="64" fillId="0" borderId="46" applyProtection="0"/>
    <xf numFmtId="0" fontId="54" fillId="7" borderId="42" applyNumberFormat="0" applyAlignment="0" applyProtection="0">
      <alignment vertical="center"/>
    </xf>
    <xf numFmtId="0" fontId="58" fillId="10" borderId="45"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1" fontId="9" fillId="0" borderId="4">
      <alignment vertical="center"/>
      <protection locked="0"/>
    </xf>
    <xf numFmtId="0" fontId="69" fillId="20" borderId="0" applyNumberFormat="0" applyBorder="0" applyAlignment="0" applyProtection="0">
      <alignment vertical="center"/>
    </xf>
    <xf numFmtId="0" fontId="54" fillId="7" borderId="42" applyNumberFormat="0" applyAlignment="0" applyProtection="0">
      <alignment vertical="center"/>
    </xf>
    <xf numFmtId="0" fontId="69" fillId="23"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54" fillId="7" borderId="42" applyNumberFormat="0" applyAlignment="0" applyProtection="0">
      <alignment vertical="center"/>
    </xf>
    <xf numFmtId="0" fontId="62" fillId="10" borderId="42" applyNumberFormat="0" applyAlignment="0" applyProtection="0">
      <alignment vertical="center"/>
    </xf>
    <xf numFmtId="0" fontId="64" fillId="0" borderId="46" applyProtection="0"/>
    <xf numFmtId="0" fontId="54" fillId="7" borderId="42" applyNumberFormat="0" applyAlignment="0" applyProtection="0">
      <alignment vertical="center"/>
    </xf>
    <xf numFmtId="1" fontId="9" fillId="0" borderId="4">
      <alignment vertical="center"/>
      <protection locked="0"/>
    </xf>
    <xf numFmtId="0" fontId="56" fillId="10" borderId="42" applyNumberFormat="0" applyAlignment="0" applyProtection="0">
      <alignment vertical="center"/>
    </xf>
    <xf numFmtId="0" fontId="69" fillId="20" borderId="0" applyNumberFormat="0" applyBorder="0" applyAlignment="0" applyProtection="0">
      <alignment vertical="center"/>
    </xf>
    <xf numFmtId="0" fontId="10" fillId="15" borderId="0" applyNumberFormat="0" applyBorder="0" applyAlignment="0" applyProtection="0">
      <alignment vertical="center"/>
    </xf>
    <xf numFmtId="1" fontId="9" fillId="0" borderId="4">
      <alignment vertical="center"/>
      <protection locked="0"/>
    </xf>
    <xf numFmtId="0" fontId="69" fillId="17" borderId="0" applyNumberFormat="0" applyBorder="0" applyAlignment="0" applyProtection="0">
      <alignment vertical="center"/>
    </xf>
    <xf numFmtId="0" fontId="64" fillId="0" borderId="46" applyProtection="0"/>
    <xf numFmtId="0" fontId="54" fillId="7"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5" fillId="7" borderId="0" applyNumberFormat="0" applyBorder="0" applyAlignment="0" applyProtection="0"/>
    <xf numFmtId="0" fontId="54" fillId="7" borderId="42" applyNumberFormat="0" applyAlignment="0" applyProtection="0">
      <alignment vertical="center"/>
    </xf>
    <xf numFmtId="0" fontId="10" fillId="19" borderId="0" applyNumberFormat="0" applyBorder="0" applyAlignment="0" applyProtection="0">
      <alignment vertical="center"/>
    </xf>
    <xf numFmtId="0" fontId="55" fillId="7" borderId="0" applyNumberFormat="0" applyBorder="0" applyAlignment="0" applyProtection="0"/>
    <xf numFmtId="0" fontId="54" fillId="7" borderId="42" applyNumberFormat="0" applyAlignment="0" applyProtection="0">
      <alignment vertical="center"/>
    </xf>
    <xf numFmtId="0" fontId="57" fillId="0" borderId="44" applyNumberFormat="0" applyFill="0" applyAlignment="0" applyProtection="0">
      <alignment vertical="center"/>
    </xf>
    <xf numFmtId="0" fontId="57" fillId="0" borderId="44" applyNumberFormat="0" applyFill="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56" fillId="10" borderId="42" applyNumberFormat="0" applyAlignment="0" applyProtection="0">
      <alignment vertical="center"/>
    </xf>
    <xf numFmtId="0" fontId="57" fillId="0" borderId="44" applyNumberFormat="0" applyFill="0" applyAlignment="0" applyProtection="0">
      <alignment vertical="center"/>
    </xf>
    <xf numFmtId="0" fontId="54" fillId="7" borderId="42" applyNumberFormat="0" applyAlignment="0" applyProtection="0">
      <alignment vertical="center"/>
    </xf>
    <xf numFmtId="0" fontId="55" fillId="7" borderId="0" applyNumberFormat="0" applyBorder="0" applyAlignment="0" applyProtection="0">
      <alignment vertical="center"/>
    </xf>
    <xf numFmtId="0" fontId="10" fillId="21" borderId="0" applyNumberFormat="0" applyBorder="0" applyAlignment="0" applyProtection="0">
      <alignment vertical="center"/>
    </xf>
    <xf numFmtId="0" fontId="55" fillId="13" borderId="0" applyNumberFormat="0" applyBorder="0" applyAlignment="0" applyProtection="0"/>
    <xf numFmtId="0" fontId="54" fillId="7" borderId="42" applyNumberFormat="0" applyAlignment="0" applyProtection="0">
      <alignment vertical="center"/>
    </xf>
    <xf numFmtId="0" fontId="54" fillId="7" borderId="42" applyNumberFormat="0" applyAlignment="0" applyProtection="0">
      <alignment vertical="center"/>
    </xf>
    <xf numFmtId="0" fontId="57" fillId="0" borderId="44" applyNumberFormat="0" applyFill="0" applyAlignment="0" applyProtection="0">
      <alignment vertical="center"/>
    </xf>
    <xf numFmtId="0" fontId="57" fillId="0" borderId="44" applyNumberFormat="0" applyFill="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9" fillId="9" borderId="4" applyNumberFormat="0" applyBorder="0" applyAlignment="0" applyProtection="0"/>
    <xf numFmtId="0" fontId="54" fillId="7" borderId="42" applyNumberFormat="0" applyAlignment="0" applyProtection="0">
      <alignment vertical="center"/>
    </xf>
    <xf numFmtId="0" fontId="55" fillId="11" borderId="0" applyNumberFormat="0" applyBorder="0" applyAlignment="0" applyProtection="0"/>
    <xf numFmtId="0" fontId="55" fillId="14" borderId="0"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10" fillId="7" borderId="0" applyNumberFormat="0" applyBorder="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61" fillId="1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54" fillId="7" borderId="42" applyNumberFormat="0" applyAlignment="0" applyProtection="0">
      <alignment vertical="center"/>
    </xf>
    <xf numFmtId="0" fontId="71" fillId="6" borderId="0" applyNumberFormat="0" applyBorder="0" applyAlignment="0" applyProtection="0">
      <alignment vertical="center"/>
    </xf>
    <xf numFmtId="0" fontId="56" fillId="10" borderId="42" applyNumberFormat="0" applyAlignment="0" applyProtection="0">
      <alignment vertical="center"/>
    </xf>
    <xf numFmtId="0" fontId="71" fillId="6" borderId="0" applyNumberFormat="0" applyBorder="0" applyAlignment="0" applyProtection="0">
      <alignment vertical="center"/>
    </xf>
    <xf numFmtId="0" fontId="56" fillId="10" borderId="42" applyNumberFormat="0" applyAlignment="0" applyProtection="0">
      <alignment vertical="center"/>
    </xf>
    <xf numFmtId="0" fontId="60" fillId="7" borderId="42" applyNumberFormat="0" applyAlignment="0" applyProtection="0">
      <alignment vertical="center"/>
    </xf>
    <xf numFmtId="0" fontId="71" fillId="17" borderId="0" applyNumberFormat="0" applyBorder="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68" fillId="15" borderId="0" applyNumberFormat="0" applyBorder="0" applyAlignment="0" applyProtection="0">
      <alignment vertical="center"/>
    </xf>
    <xf numFmtId="0" fontId="71" fillId="6" borderId="0" applyNumberFormat="0" applyBorder="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71" fillId="17" borderId="0" applyNumberFormat="0" applyBorder="0" applyAlignment="0" applyProtection="0">
      <alignment vertical="center"/>
    </xf>
    <xf numFmtId="0" fontId="68" fillId="15" borderId="0" applyNumberFormat="0" applyBorder="0" applyAlignment="0" applyProtection="0">
      <alignment vertical="center"/>
    </xf>
    <xf numFmtId="0" fontId="71" fillId="6" borderId="0" applyNumberFormat="0" applyBorder="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71" fillId="12" borderId="0" applyNumberFormat="0" applyBorder="0" applyAlignment="0" applyProtection="0">
      <alignment vertical="center"/>
    </xf>
    <xf numFmtId="0" fontId="67" fillId="0" borderId="7">
      <alignment horizontal="left" vertical="center"/>
    </xf>
    <xf numFmtId="0" fontId="54" fillId="7" borderId="42" applyNumberFormat="0" applyAlignment="0" applyProtection="0">
      <alignment vertical="center"/>
    </xf>
    <xf numFmtId="1" fontId="9" fillId="0" borderId="4">
      <alignment vertical="center"/>
      <protection locked="0"/>
    </xf>
    <xf numFmtId="0" fontId="67" fillId="0" borderId="7">
      <alignment horizontal="left" vertical="center"/>
    </xf>
    <xf numFmtId="0" fontId="71" fillId="12" borderId="0" applyNumberFormat="0" applyBorder="0" applyAlignment="0" applyProtection="0">
      <alignment vertical="center"/>
    </xf>
    <xf numFmtId="0" fontId="54" fillId="7" borderId="42" applyNumberFormat="0" applyAlignment="0" applyProtection="0">
      <alignment vertical="center"/>
    </xf>
    <xf numFmtId="0" fontId="71" fillId="12" borderId="0" applyNumberFormat="0" applyBorder="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1" fontId="9" fillId="0" borderId="4">
      <alignment vertical="center"/>
      <protection locked="0"/>
    </xf>
    <xf numFmtId="0" fontId="51" fillId="9" borderId="43" applyNumberFormat="0" applyFon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62" fillId="10" borderId="42" applyNumberFormat="0" applyAlignment="0" applyProtection="0">
      <alignment vertical="center"/>
    </xf>
    <xf numFmtId="0" fontId="63" fillId="0" borderId="44" applyNumberFormat="0" applyFill="0" applyAlignment="0" applyProtection="0">
      <alignment vertical="center"/>
    </xf>
    <xf numFmtId="0" fontId="54" fillId="7" borderId="42" applyNumberFormat="0" applyAlignment="0" applyProtection="0">
      <alignment vertical="center"/>
    </xf>
    <xf numFmtId="0" fontId="69" fillId="20" borderId="0" applyNumberFormat="0" applyBorder="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62" fillId="10" borderId="42" applyNumberFormat="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horizontal="center" vertical="center"/>
    </xf>
    <xf numFmtId="0" fontId="60" fillId="7" borderId="42" applyNumberFormat="0" applyAlignment="0" applyProtection="0">
      <alignment vertical="center"/>
    </xf>
    <xf numFmtId="0" fontId="57" fillId="0" borderId="44" applyNumberFormat="0" applyFill="0" applyAlignment="0" applyProtection="0">
      <alignment vertical="center"/>
    </xf>
    <xf numFmtId="0" fontId="55" fillId="11" borderId="0"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71" fillId="15" borderId="0" applyNumberFormat="0" applyBorder="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71" fillId="15" borderId="0" applyNumberFormat="0" applyBorder="0" applyAlignment="0" applyProtection="0">
      <alignment vertical="center"/>
    </xf>
    <xf numFmtId="0" fontId="55" fillId="11" borderId="0" applyNumberFormat="0" applyBorder="0" applyAlignment="0" applyProtection="0"/>
    <xf numFmtId="0" fontId="54" fillId="7" borderId="42" applyNumberFormat="0" applyAlignment="0" applyProtection="0">
      <alignment vertical="center"/>
    </xf>
    <xf numFmtId="0" fontId="55" fillId="5" borderId="0" applyNumberFormat="0" applyBorder="0" applyAlignment="0" applyProtection="0"/>
    <xf numFmtId="0" fontId="59" fillId="9" borderId="4" applyNumberFormat="0" applyBorder="0" applyAlignment="0" applyProtection="0"/>
    <xf numFmtId="0" fontId="54" fillId="7" borderId="42" applyNumberFormat="0" applyAlignment="0" applyProtection="0">
      <alignment vertical="center"/>
    </xf>
    <xf numFmtId="0" fontId="71" fillId="15" borderId="0" applyNumberFormat="0" applyBorder="0" applyAlignment="0" applyProtection="0">
      <alignment vertical="center"/>
    </xf>
    <xf numFmtId="1" fontId="9" fillId="0" borderId="4">
      <alignment vertical="center"/>
      <protection locked="0"/>
    </xf>
    <xf numFmtId="0" fontId="58" fillId="10" borderId="45" applyNumberFormat="0" applyAlignment="0" applyProtection="0">
      <alignment vertical="center"/>
    </xf>
    <xf numFmtId="0" fontId="57" fillId="0" borderId="44" applyNumberFormat="0" applyFill="0" applyAlignment="0" applyProtection="0">
      <alignment vertical="center"/>
    </xf>
    <xf numFmtId="0" fontId="71" fillId="19" borderId="0" applyNumberFormat="0" applyBorder="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7" fillId="0" borderId="44" applyNumberFormat="0" applyFill="0" applyAlignment="0" applyProtection="0">
      <alignment vertical="center"/>
    </xf>
    <xf numFmtId="0" fontId="71" fillId="19" borderId="0" applyNumberFormat="0" applyBorder="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28" fillId="7" borderId="0" applyNumberFormat="0" applyBorder="0" applyAlignment="0" applyProtection="0"/>
    <xf numFmtId="0" fontId="57" fillId="0" borderId="44" applyNumberFormat="0" applyFill="0" applyAlignment="0" applyProtection="0">
      <alignment vertical="center"/>
    </xf>
    <xf numFmtId="0" fontId="57" fillId="0" borderId="44" applyNumberFormat="0" applyFill="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71" fillId="19" borderId="0" applyNumberFormat="0" applyBorder="0" applyAlignment="0" applyProtection="0">
      <alignment vertical="center"/>
    </xf>
    <xf numFmtId="0" fontId="54" fillId="7" borderId="42" applyNumberFormat="0" applyAlignment="0" applyProtection="0">
      <alignment vertical="center"/>
    </xf>
    <xf numFmtId="0" fontId="28" fillId="7" borderId="0" applyNumberFormat="0" applyBorder="0" applyAlignment="0" applyProtection="0"/>
    <xf numFmtId="0" fontId="54" fillId="7" borderId="42" applyNumberFormat="0" applyAlignment="0" applyProtection="0">
      <alignment vertical="center"/>
    </xf>
    <xf numFmtId="0" fontId="54" fillId="7" borderId="42" applyNumberFormat="0" applyAlignment="0" applyProtection="0">
      <alignment vertical="center"/>
    </xf>
    <xf numFmtId="0" fontId="71" fillId="19" borderId="0" applyNumberFormat="0" applyBorder="0" applyAlignment="0" applyProtection="0">
      <alignment vertical="center"/>
    </xf>
    <xf numFmtId="0" fontId="54" fillId="7" borderId="42" applyNumberFormat="0" applyAlignment="0" applyProtection="0">
      <alignment vertical="center"/>
    </xf>
    <xf numFmtId="0" fontId="57" fillId="0" borderId="44" applyNumberFormat="0" applyFill="0" applyAlignment="0" applyProtection="0">
      <alignment vertical="center"/>
    </xf>
    <xf numFmtId="0" fontId="10" fillId="19" borderId="0" applyNumberFormat="0" applyBorder="0" applyAlignment="0" applyProtection="0">
      <alignment vertical="center"/>
    </xf>
    <xf numFmtId="0" fontId="23" fillId="0" borderId="0">
      <alignment vertical="center"/>
    </xf>
    <xf numFmtId="0" fontId="64" fillId="0" borderId="46" applyProtection="0"/>
    <xf numFmtId="0" fontId="55" fillId="8" borderId="0" applyNumberFormat="0" applyBorder="0" applyAlignment="0" applyProtection="0"/>
    <xf numFmtId="0" fontId="56" fillId="10" borderId="42" applyNumberFormat="0" applyAlignment="0" applyProtection="0">
      <alignment vertical="center"/>
    </xf>
    <xf numFmtId="0" fontId="54" fillId="7" borderId="42" applyNumberFormat="0" applyAlignment="0" applyProtection="0">
      <alignment vertical="center"/>
    </xf>
    <xf numFmtId="1" fontId="9" fillId="0" borderId="4">
      <alignment vertical="center"/>
      <protection locked="0"/>
    </xf>
    <xf numFmtId="0" fontId="63" fillId="0" borderId="44" applyNumberFormat="0" applyFill="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1" fillId="9" borderId="43" applyNumberFormat="0" applyFont="0" applyAlignment="0" applyProtection="0">
      <alignment vertical="center"/>
    </xf>
    <xf numFmtId="0" fontId="69" fillId="17" borderId="0" applyNumberFormat="0" applyBorder="0" applyAlignment="0" applyProtection="0">
      <alignment vertical="center"/>
    </xf>
    <xf numFmtId="0" fontId="54" fillId="7" borderId="42" applyNumberFormat="0" applyAlignment="0" applyProtection="0">
      <alignment vertical="center"/>
    </xf>
    <xf numFmtId="0" fontId="57" fillId="0" borderId="44" applyNumberFormat="0" applyFill="0" applyAlignment="0" applyProtection="0">
      <alignment vertical="center"/>
    </xf>
    <xf numFmtId="0" fontId="10" fillId="9" borderId="0" applyNumberFormat="0" applyBorder="0" applyAlignment="0" applyProtection="0">
      <alignment horizontal="center" vertical="center"/>
    </xf>
    <xf numFmtId="0" fontId="56" fillId="10" borderId="42" applyNumberFormat="0" applyAlignment="0" applyProtection="0">
      <alignment vertical="center"/>
    </xf>
    <xf numFmtId="0" fontId="54" fillId="7" borderId="42" applyNumberFormat="0" applyAlignment="0" applyProtection="0">
      <alignment vertical="center"/>
    </xf>
    <xf numFmtId="1" fontId="9" fillId="0" borderId="4">
      <alignment vertical="center"/>
      <protection locked="0"/>
    </xf>
    <xf numFmtId="0" fontId="58" fillId="10" borderId="45" applyNumberFormat="0" applyAlignment="0" applyProtection="0">
      <alignment vertical="center"/>
    </xf>
    <xf numFmtId="0" fontId="57" fillId="0" borderId="44" applyNumberFormat="0" applyFill="0" applyAlignment="0" applyProtection="0">
      <alignment vertical="center"/>
    </xf>
    <xf numFmtId="0" fontId="71" fillId="21" borderId="0" applyNumberFormat="0" applyBorder="0" applyAlignment="0" applyProtection="0">
      <alignment vertical="center"/>
    </xf>
    <xf numFmtId="0" fontId="56" fillId="10" borderId="42" applyNumberFormat="0" applyAlignment="0" applyProtection="0">
      <alignment vertical="center"/>
    </xf>
    <xf numFmtId="0" fontId="60" fillId="7" borderId="42" applyNumberFormat="0" applyAlignment="0" applyProtection="0">
      <alignment vertical="center"/>
    </xf>
    <xf numFmtId="0" fontId="59" fillId="9" borderId="4" applyNumberFormat="0" applyBorder="0" applyAlignment="0" applyProtection="0"/>
    <xf numFmtId="0" fontId="54" fillId="7" borderId="42" applyNumberFormat="0" applyAlignment="0" applyProtection="0">
      <alignment vertical="center"/>
    </xf>
    <xf numFmtId="0" fontId="51" fillId="0" borderId="0"/>
    <xf numFmtId="0" fontId="55" fillId="11" borderId="0" applyNumberFormat="0" applyBorder="0" applyAlignment="0" applyProtection="0"/>
    <xf numFmtId="0" fontId="54" fillId="7" borderId="42" applyNumberFormat="0" applyAlignment="0" applyProtection="0">
      <alignment vertical="center"/>
    </xf>
    <xf numFmtId="0" fontId="62" fillId="10" borderId="42" applyNumberFormat="0" applyAlignment="0" applyProtection="0">
      <alignment vertical="center"/>
    </xf>
    <xf numFmtId="0" fontId="62" fillId="10" borderId="42" applyNumberFormat="0" applyAlignment="0" applyProtection="0">
      <alignment vertical="center"/>
    </xf>
    <xf numFmtId="0" fontId="54" fillId="7" borderId="42" applyNumberFormat="0" applyAlignment="0" applyProtection="0">
      <alignment vertical="center"/>
    </xf>
    <xf numFmtId="0" fontId="71" fillId="21" borderId="0" applyNumberFormat="0" applyBorder="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71" fillId="21" borderId="0" applyNumberFormat="0" applyBorder="0" applyAlignment="0" applyProtection="0">
      <alignment vertical="center"/>
    </xf>
    <xf numFmtId="0" fontId="54" fillId="7" borderId="42" applyNumberFormat="0" applyAlignment="0" applyProtection="0">
      <alignment vertical="center"/>
    </xf>
    <xf numFmtId="0" fontId="71" fillId="21" borderId="0" applyNumberFormat="0" applyBorder="0" applyAlignment="0" applyProtection="0">
      <alignment vertical="center"/>
    </xf>
    <xf numFmtId="1" fontId="9" fillId="0" borderId="4">
      <alignment vertical="center"/>
      <protection locked="0"/>
    </xf>
    <xf numFmtId="0" fontId="10" fillId="21" borderId="0" applyNumberFormat="0" applyBorder="0" applyAlignment="0" applyProtection="0">
      <alignment vertical="center"/>
    </xf>
    <xf numFmtId="0" fontId="54" fillId="7" borderId="42" applyNumberFormat="0" applyAlignment="0" applyProtection="0">
      <alignment vertical="center"/>
    </xf>
    <xf numFmtId="0" fontId="58" fillId="10" borderId="45" applyNumberFormat="0" applyAlignment="0" applyProtection="0">
      <alignment vertical="center"/>
    </xf>
    <xf numFmtId="0" fontId="54" fillId="7" borderId="42" applyNumberFormat="0" applyAlignment="0" applyProtection="0">
      <alignment vertical="center"/>
    </xf>
    <xf numFmtId="0" fontId="55" fillId="11" borderId="0" applyNumberFormat="0" applyBorder="0" applyAlignment="0" applyProtection="0"/>
    <xf numFmtId="0" fontId="10" fillId="6" borderId="0" applyNumberFormat="0" applyBorder="0" applyAlignment="0" applyProtection="0">
      <alignment horizontal="center"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9" fillId="9" borderId="4" applyNumberFormat="0" applyBorder="0" applyAlignment="0" applyProtection="0"/>
    <xf numFmtId="0" fontId="55" fillId="11" borderId="0" applyNumberFormat="0" applyBorder="0" applyAlignment="0" applyProtection="0"/>
    <xf numFmtId="0" fontId="64" fillId="0" borderId="46" applyProtection="0"/>
    <xf numFmtId="0" fontId="55" fillId="8" borderId="0" applyNumberFormat="0" applyBorder="0" applyAlignment="0" applyProtection="0"/>
    <xf numFmtId="0" fontId="56" fillId="10" borderId="42" applyNumberFormat="0" applyAlignment="0" applyProtection="0">
      <alignment vertical="center"/>
    </xf>
    <xf numFmtId="0" fontId="69" fillId="20" borderId="0" applyNumberFormat="0" applyBorder="0" applyAlignment="0" applyProtection="0">
      <alignment vertical="center"/>
    </xf>
    <xf numFmtId="0" fontId="54" fillId="7" borderId="42" applyNumberFormat="0" applyAlignment="0" applyProtection="0">
      <alignment vertical="center"/>
    </xf>
    <xf numFmtId="0" fontId="58" fillId="10" borderId="45" applyNumberFormat="0" applyAlignment="0" applyProtection="0">
      <alignment vertical="center"/>
    </xf>
    <xf numFmtId="0" fontId="57" fillId="0" borderId="44" applyNumberFormat="0" applyFill="0" applyAlignment="0" applyProtection="0">
      <alignment vertical="center"/>
    </xf>
    <xf numFmtId="0" fontId="71" fillId="7" borderId="0" applyNumberFormat="0" applyBorder="0" applyAlignment="0" applyProtection="0">
      <alignment vertical="center"/>
    </xf>
    <xf numFmtId="0" fontId="54" fillId="7" borderId="42" applyNumberFormat="0" applyAlignment="0" applyProtection="0">
      <alignment vertical="center"/>
    </xf>
    <xf numFmtId="0" fontId="51" fillId="9" borderId="43" applyNumberFormat="0" applyFont="0" applyAlignment="0" applyProtection="0">
      <alignment vertical="center"/>
    </xf>
    <xf numFmtId="0" fontId="54" fillId="7" borderId="42" applyNumberFormat="0" applyAlignment="0" applyProtection="0">
      <alignment vertical="center"/>
    </xf>
    <xf numFmtId="0" fontId="71" fillId="7" borderId="0" applyNumberFormat="0" applyBorder="0" applyAlignment="0" applyProtection="0">
      <alignment vertical="center"/>
    </xf>
    <xf numFmtId="0" fontId="54" fillId="7" borderId="42" applyNumberFormat="0" applyAlignment="0" applyProtection="0">
      <alignment vertical="center"/>
    </xf>
    <xf numFmtId="0" fontId="55" fillId="14" borderId="0" applyNumberFormat="0" applyBorder="0" applyAlignment="0" applyProtection="0"/>
    <xf numFmtId="0" fontId="59" fillId="9" borderId="4" applyNumberFormat="0" applyBorder="0" applyAlignment="0" applyProtection="0"/>
    <xf numFmtId="0" fontId="58" fillId="10" borderId="45" applyNumberFormat="0" applyAlignment="0" applyProtection="0">
      <alignment vertical="center"/>
    </xf>
    <xf numFmtId="0" fontId="59" fillId="9" borderId="4" applyNumberFormat="0" applyBorder="0" applyAlignment="0" applyProtection="0"/>
    <xf numFmtId="0" fontId="10" fillId="6" borderId="0" applyNumberFormat="0" applyBorder="0" applyAlignment="0" applyProtection="0">
      <alignment horizontal="center" vertical="center"/>
    </xf>
    <xf numFmtId="1" fontId="9" fillId="0" borderId="4">
      <alignment vertical="center"/>
      <protection locked="0"/>
    </xf>
    <xf numFmtId="0" fontId="56" fillId="10" borderId="42" applyNumberFormat="0" applyAlignment="0" applyProtection="0">
      <alignment vertical="center"/>
    </xf>
    <xf numFmtId="0" fontId="61" fillId="12" borderId="0" applyNumberFormat="0" applyBorder="0" applyAlignment="0" applyProtection="0">
      <alignment vertical="center"/>
    </xf>
    <xf numFmtId="0" fontId="10" fillId="7" borderId="0" applyNumberFormat="0" applyBorder="0" applyAlignment="0" applyProtection="0">
      <alignment vertical="center"/>
    </xf>
    <xf numFmtId="0" fontId="67" fillId="0" borderId="7">
      <alignment horizontal="left" vertical="center"/>
    </xf>
    <xf numFmtId="0" fontId="64" fillId="0" borderId="46" applyProtection="0"/>
    <xf numFmtId="0" fontId="64" fillId="0" borderId="46" applyProtection="0"/>
    <xf numFmtId="0" fontId="55" fillId="8" borderId="0" applyNumberFormat="0" applyBorder="0" applyAlignment="0" applyProtection="0"/>
    <xf numFmtId="0" fontId="56" fillId="10" borderId="42" applyNumberFormat="0" applyAlignment="0" applyProtection="0">
      <alignment vertical="center"/>
    </xf>
    <xf numFmtId="0" fontId="69" fillId="16" borderId="0" applyNumberFormat="0" applyBorder="0" applyAlignment="0" applyProtection="0">
      <alignment vertical="center"/>
    </xf>
    <xf numFmtId="0" fontId="10" fillId="15" borderId="0" applyNumberFormat="0" applyBorder="0" applyAlignment="0" applyProtection="0">
      <alignment horizontal="center" vertical="center"/>
    </xf>
    <xf numFmtId="0" fontId="54" fillId="7" borderId="42" applyNumberFormat="0" applyAlignment="0" applyProtection="0">
      <alignment vertical="center"/>
    </xf>
    <xf numFmtId="0" fontId="59" fillId="9" borderId="4" applyNumberFormat="0" applyBorder="0" applyAlignment="0" applyProtection="0"/>
    <xf numFmtId="0" fontId="10" fillId="18" borderId="0" applyNumberFormat="0" applyBorder="0" applyAlignment="0" applyProtection="0">
      <alignment vertical="center"/>
    </xf>
    <xf numFmtId="0" fontId="60" fillId="7" borderId="42" applyNumberFormat="0" applyAlignment="0" applyProtection="0">
      <alignment vertical="center"/>
    </xf>
    <xf numFmtId="0" fontId="65" fillId="10" borderId="45" applyNumberFormat="0" applyAlignment="0" applyProtection="0">
      <alignment vertical="center"/>
    </xf>
    <xf numFmtId="0" fontId="80" fillId="0" borderId="1" applyNumberFormat="0" applyFill="0" applyProtection="0">
      <alignment horizontal="left"/>
    </xf>
    <xf numFmtId="0" fontId="10" fillId="17" borderId="0" applyNumberFormat="0" applyBorder="0" applyAlignment="0" applyProtection="0">
      <alignment vertical="center"/>
    </xf>
    <xf numFmtId="0" fontId="54" fillId="7" borderId="42" applyNumberFormat="0" applyAlignment="0" applyProtection="0">
      <alignment vertical="center"/>
    </xf>
    <xf numFmtId="0" fontId="55" fillId="5" borderId="0" applyNumberFormat="0" applyBorder="0" applyAlignment="0" applyProtection="0"/>
    <xf numFmtId="43" fontId="97" fillId="0" borderId="0" applyFont="0" applyFill="0" applyBorder="0" applyAlignment="0" applyProtection="0"/>
    <xf numFmtId="0" fontId="60" fillId="7" borderId="42" applyNumberFormat="0" applyAlignment="0" applyProtection="0">
      <alignment vertical="center"/>
    </xf>
    <xf numFmtId="0" fontId="80" fillId="0" borderId="1" applyNumberFormat="0" applyFill="0" applyProtection="0">
      <alignment horizontal="left"/>
    </xf>
    <xf numFmtId="0" fontId="10" fillId="17" borderId="0" applyNumberFormat="0" applyBorder="0" applyAlignment="0" applyProtection="0">
      <alignment vertical="center"/>
    </xf>
    <xf numFmtId="0" fontId="60" fillId="7" borderId="42" applyNumberFormat="0" applyAlignment="0" applyProtection="0">
      <alignment vertical="center"/>
    </xf>
    <xf numFmtId="0" fontId="65" fillId="10" borderId="45" applyNumberFormat="0" applyAlignment="0" applyProtection="0">
      <alignment vertical="center"/>
    </xf>
    <xf numFmtId="0" fontId="80" fillId="0" borderId="1" applyNumberFormat="0" applyFill="0" applyProtection="0">
      <alignment horizontal="left"/>
    </xf>
    <xf numFmtId="0" fontId="10" fillId="19" borderId="0" applyNumberFormat="0" applyBorder="0" applyAlignment="0" applyProtection="0">
      <alignment vertical="center"/>
    </xf>
    <xf numFmtId="0" fontId="60" fillId="7" borderId="42" applyNumberFormat="0" applyAlignment="0" applyProtection="0">
      <alignment vertical="center"/>
    </xf>
    <xf numFmtId="0" fontId="80" fillId="0" borderId="1" applyNumberFormat="0" applyFill="0" applyProtection="0">
      <alignment horizontal="left"/>
    </xf>
    <xf numFmtId="0" fontId="10" fillId="19" borderId="0" applyNumberFormat="0" applyBorder="0" applyAlignment="0" applyProtection="0">
      <alignment vertical="center"/>
    </xf>
    <xf numFmtId="0" fontId="54" fillId="7" borderId="42" applyNumberFormat="0" applyAlignment="0" applyProtection="0">
      <alignment vertical="center"/>
    </xf>
    <xf numFmtId="0" fontId="60" fillId="7" borderId="42" applyNumberFormat="0" applyAlignment="0" applyProtection="0">
      <alignment vertical="center"/>
    </xf>
    <xf numFmtId="0" fontId="60" fillId="7" borderId="42" applyNumberFormat="0" applyAlignment="0" applyProtection="0">
      <alignment vertical="center"/>
    </xf>
    <xf numFmtId="0" fontId="80" fillId="0" borderId="1" applyNumberFormat="0" applyFill="0" applyProtection="0">
      <alignment horizontal="left"/>
    </xf>
    <xf numFmtId="0" fontId="10" fillId="18" borderId="0" applyNumberFormat="0" applyBorder="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60" fillId="7" borderId="42" applyNumberFormat="0" applyAlignment="0" applyProtection="0">
      <alignment vertical="center"/>
    </xf>
    <xf numFmtId="0" fontId="71" fillId="18" borderId="0" applyNumberFormat="0" applyBorder="0" applyAlignment="0" applyProtection="0">
      <alignment vertical="center"/>
    </xf>
    <xf numFmtId="43" fontId="97" fillId="0" borderId="0" applyFont="0" applyFill="0" applyBorder="0" applyAlignment="0" applyProtection="0"/>
    <xf numFmtId="43" fontId="97" fillId="0" borderId="0" applyFont="0" applyFill="0" applyBorder="0" applyAlignment="0" applyProtection="0"/>
    <xf numFmtId="0" fontId="71" fillId="18" borderId="0" applyNumberFormat="0" applyBorder="0" applyAlignment="0" applyProtection="0">
      <alignment vertical="center"/>
    </xf>
    <xf numFmtId="43" fontId="97" fillId="0" borderId="0" applyFont="0" applyFill="0" applyBorder="0" applyAlignment="0" applyProtection="0"/>
    <xf numFmtId="0" fontId="71" fillId="18" borderId="0" applyNumberFormat="0" applyBorder="0" applyAlignment="0" applyProtection="0">
      <alignment vertical="center"/>
    </xf>
    <xf numFmtId="43" fontId="97" fillId="0" borderId="0" applyFont="0" applyFill="0" applyBorder="0" applyAlignment="0" applyProtection="0"/>
    <xf numFmtId="0" fontId="55" fillId="14" borderId="0" applyNumberFormat="0" applyBorder="0" applyAlignment="0" applyProtection="0">
      <alignment vertical="center"/>
    </xf>
    <xf numFmtId="41" fontId="51" fillId="0" borderId="0" applyFont="0" applyFill="0" applyBorder="0" applyAlignment="0" applyProtection="0"/>
    <xf numFmtId="43" fontId="97" fillId="0" borderId="0" applyFont="0" applyFill="0" applyBorder="0" applyAlignment="0" applyProtection="0"/>
    <xf numFmtId="0" fontId="71" fillId="18" borderId="0" applyNumberFormat="0" applyBorder="0" applyAlignment="0" applyProtection="0">
      <alignment vertical="center"/>
    </xf>
    <xf numFmtId="43" fontId="97" fillId="0" borderId="0" applyFont="0" applyFill="0" applyBorder="0" applyAlignment="0" applyProtection="0"/>
    <xf numFmtId="0" fontId="59" fillId="9" borderId="4" applyNumberFormat="0" applyBorder="0" applyAlignment="0" applyProtection="0"/>
    <xf numFmtId="0" fontId="55" fillId="11" borderId="0" applyNumberFormat="0" applyBorder="0" applyAlignment="0" applyProtection="0"/>
    <xf numFmtId="0" fontId="56" fillId="10" borderId="42" applyNumberFormat="0" applyAlignment="0" applyProtection="0">
      <alignment vertical="center"/>
    </xf>
    <xf numFmtId="0" fontId="10" fillId="18" borderId="0" applyNumberFormat="0" applyBorder="0" applyAlignment="0" applyProtection="0">
      <alignment vertical="center"/>
    </xf>
    <xf numFmtId="0" fontId="80" fillId="0" borderId="1" applyNumberFormat="0" applyFill="0" applyProtection="0">
      <alignment horizontal="center"/>
    </xf>
    <xf numFmtId="0" fontId="56" fillId="10" borderId="42"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9" fillId="9" borderId="4" applyNumberFormat="0" applyBorder="0" applyAlignment="0" applyProtection="0"/>
    <xf numFmtId="0" fontId="51" fillId="9" borderId="43" applyNumberFormat="0" applyFont="0" applyAlignment="0" applyProtection="0">
      <alignment vertical="center"/>
    </xf>
    <xf numFmtId="0" fontId="54" fillId="7" borderId="42" applyNumberFormat="0" applyAlignment="0" applyProtection="0">
      <alignment vertical="center"/>
    </xf>
    <xf numFmtId="0" fontId="60" fillId="7" borderId="42" applyNumberFormat="0" applyAlignment="0" applyProtection="0">
      <alignment vertical="center"/>
    </xf>
    <xf numFmtId="0" fontId="59" fillId="9" borderId="4" applyNumberFormat="0" applyBorder="0" applyAlignment="0" applyProtection="0"/>
    <xf numFmtId="0" fontId="55" fillId="11" borderId="0" applyNumberFormat="0" applyBorder="0" applyAlignment="0" applyProtection="0"/>
    <xf numFmtId="0" fontId="79" fillId="0" borderId="0">
      <alignment horizontal="center" vertical="center"/>
    </xf>
    <xf numFmtId="0" fontId="55" fillId="8" borderId="0" applyNumberFormat="0" applyBorder="0" applyAlignment="0" applyProtection="0"/>
    <xf numFmtId="0" fontId="10" fillId="18" borderId="0" applyNumberFormat="0" applyBorder="0" applyAlignment="0" applyProtection="0">
      <alignment vertical="center"/>
    </xf>
    <xf numFmtId="0" fontId="54" fillId="7" borderId="42" applyNumberFormat="0" applyAlignment="0" applyProtection="0">
      <alignment vertical="center"/>
    </xf>
    <xf numFmtId="0" fontId="62" fillId="10" borderId="42" applyNumberFormat="0" applyAlignment="0" applyProtection="0">
      <alignment vertical="center"/>
    </xf>
    <xf numFmtId="0" fontId="59" fillId="9" borderId="4" applyNumberFormat="0" applyBorder="0" applyAlignment="0" applyProtection="0"/>
    <xf numFmtId="0" fontId="55" fillId="13" borderId="0" applyNumberFormat="0" applyBorder="0" applyAlignment="0" applyProtection="0"/>
    <xf numFmtId="0" fontId="10" fillId="6" borderId="0" applyNumberFormat="0" applyBorder="0" applyAlignment="0" applyProtection="0">
      <alignment horizontal="center" vertical="center"/>
    </xf>
    <xf numFmtId="0" fontId="54" fillId="7" borderId="42" applyNumberFormat="0" applyAlignment="0" applyProtection="0">
      <alignment vertical="center"/>
    </xf>
    <xf numFmtId="0" fontId="59" fillId="9" borderId="4" applyNumberFormat="0" applyBorder="0" applyAlignment="0" applyProtection="0"/>
    <xf numFmtId="0" fontId="71" fillId="17" borderId="0" applyNumberFormat="0" applyBorder="0" applyAlignment="0" applyProtection="0">
      <alignment vertical="center"/>
    </xf>
    <xf numFmtId="0" fontId="54" fillId="7" borderId="42" applyNumberFormat="0" applyAlignment="0" applyProtection="0">
      <alignment vertical="center"/>
    </xf>
    <xf numFmtId="0" fontId="57" fillId="0" borderId="44" applyNumberFormat="0" applyFill="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4" fillId="7" borderId="42" applyNumberFormat="0" applyAlignment="0" applyProtection="0">
      <alignment vertical="center"/>
    </xf>
    <xf numFmtId="0" fontId="59" fillId="9" borderId="4" applyNumberFormat="0" applyBorder="0" applyAlignment="0" applyProtection="0"/>
    <xf numFmtId="0" fontId="71" fillId="17" borderId="0" applyNumberFormat="0" applyBorder="0" applyAlignment="0" applyProtection="0">
      <alignment vertical="center"/>
    </xf>
    <xf numFmtId="0" fontId="65" fillId="10" borderId="45" applyNumberFormat="0" applyAlignment="0" applyProtection="0">
      <alignment vertical="center"/>
    </xf>
    <xf numFmtId="0" fontId="51" fillId="0" borderId="0"/>
    <xf numFmtId="0" fontId="59" fillId="9" borderId="4" applyNumberFormat="0" applyBorder="0" applyAlignment="0" applyProtection="0"/>
    <xf numFmtId="0" fontId="54" fillId="7" borderId="42" applyNumberFormat="0" applyAlignment="0" applyProtection="0">
      <alignment vertical="center"/>
    </xf>
    <xf numFmtId="0" fontId="71" fillId="17" borderId="0" applyNumberFormat="0" applyBorder="0" applyAlignment="0" applyProtection="0">
      <alignment vertical="center"/>
    </xf>
    <xf numFmtId="0" fontId="54" fillId="7" borderId="42" applyNumberFormat="0" applyAlignment="0" applyProtection="0">
      <alignment vertical="center"/>
    </xf>
    <xf numFmtId="0" fontId="62" fillId="10" borderId="42" applyNumberFormat="0" applyAlignment="0" applyProtection="0">
      <alignment vertical="center"/>
    </xf>
    <xf numFmtId="0" fontId="71" fillId="17" borderId="0" applyNumberFormat="0" applyBorder="0" applyAlignment="0" applyProtection="0">
      <alignment vertical="center"/>
    </xf>
    <xf numFmtId="0" fontId="56" fillId="10" borderId="42" applyNumberFormat="0" applyAlignment="0" applyProtection="0">
      <alignment vertical="center"/>
    </xf>
    <xf numFmtId="0" fontId="63" fillId="0" borderId="44" applyNumberFormat="0" applyFill="0" applyAlignment="0" applyProtection="0">
      <alignment vertical="center"/>
    </xf>
    <xf numFmtId="0" fontId="10" fillId="17" borderId="0" applyNumberFormat="0" applyBorder="0" applyAlignment="0" applyProtection="0">
      <alignment vertical="center"/>
    </xf>
    <xf numFmtId="0" fontId="54" fillId="7" borderId="42" applyNumberFormat="0" applyAlignment="0" applyProtection="0">
      <alignment vertical="center"/>
    </xf>
    <xf numFmtId="0" fontId="63" fillId="0" borderId="44" applyNumberFormat="0" applyFill="0" applyAlignment="0" applyProtection="0">
      <alignment vertical="center"/>
    </xf>
    <xf numFmtId="0" fontId="10" fillId="17" borderId="0" applyNumberFormat="0" applyBorder="0" applyAlignment="0" applyProtection="0">
      <alignment vertical="center"/>
    </xf>
    <xf numFmtId="1" fontId="9" fillId="0" borderId="4">
      <alignment vertical="center"/>
      <protection locked="0"/>
    </xf>
    <xf numFmtId="0" fontId="69" fillId="8" borderId="0" applyNumberFormat="0" applyBorder="0" applyAlignment="0" applyProtection="0">
      <alignment vertical="center"/>
    </xf>
    <xf numFmtId="0" fontId="65" fillId="10" borderId="45" applyNumberFormat="0" applyAlignment="0" applyProtection="0">
      <alignment vertical="center"/>
    </xf>
    <xf numFmtId="0" fontId="63" fillId="0" borderId="44" applyNumberFormat="0" applyFill="0" applyAlignment="0" applyProtection="0">
      <alignment vertical="center"/>
    </xf>
    <xf numFmtId="0" fontId="10" fillId="7" borderId="0" applyNumberFormat="0" applyBorder="0" applyAlignment="0" applyProtection="0">
      <alignment horizontal="center" vertical="center"/>
    </xf>
    <xf numFmtId="0" fontId="56" fillId="10" borderId="42" applyNumberFormat="0" applyAlignment="0" applyProtection="0">
      <alignment vertical="center"/>
    </xf>
    <xf numFmtId="0" fontId="60" fillId="7" borderId="42" applyNumberFormat="0" applyAlignment="0" applyProtection="0">
      <alignment vertical="center"/>
    </xf>
    <xf numFmtId="0" fontId="71" fillId="20" borderId="0" applyNumberFormat="0" applyBorder="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71" fillId="20" borderId="0" applyNumberFormat="0" applyBorder="0" applyAlignment="0" applyProtection="0">
      <alignment vertical="center"/>
    </xf>
    <xf numFmtId="0" fontId="71" fillId="20" borderId="0" applyNumberFormat="0" applyBorder="0" applyAlignment="0" applyProtection="0">
      <alignment vertical="center"/>
    </xf>
    <xf numFmtId="0" fontId="56" fillId="10" borderId="42" applyNumberFormat="0" applyAlignment="0" applyProtection="0">
      <alignment vertical="center"/>
    </xf>
    <xf numFmtId="0" fontId="71" fillId="20" borderId="0" applyNumberFormat="0" applyBorder="0" applyAlignment="0" applyProtection="0">
      <alignment vertical="center"/>
    </xf>
    <xf numFmtId="0" fontId="71" fillId="20" borderId="0" applyNumberFormat="0" applyBorder="0" applyAlignment="0" applyProtection="0">
      <alignment vertical="center"/>
    </xf>
    <xf numFmtId="0" fontId="10" fillId="20" borderId="0" applyNumberFormat="0" applyBorder="0" applyAlignment="0" applyProtection="0">
      <alignment vertical="center"/>
    </xf>
    <xf numFmtId="0" fontId="10" fillId="0" borderId="0"/>
    <xf numFmtId="0" fontId="10" fillId="20" borderId="0" applyNumberFormat="0" applyBorder="0" applyAlignment="0" applyProtection="0">
      <alignment vertical="center"/>
    </xf>
    <xf numFmtId="0" fontId="69" fillId="8" borderId="0" applyNumberFormat="0" applyBorder="0" applyAlignment="0" applyProtection="0">
      <alignment vertical="center"/>
    </xf>
    <xf numFmtId="1" fontId="9" fillId="0" borderId="4">
      <alignment vertical="center"/>
      <protection locked="0"/>
    </xf>
    <xf numFmtId="0" fontId="65" fillId="10" borderId="45" applyNumberFormat="0" applyAlignment="0" applyProtection="0">
      <alignment vertical="center"/>
    </xf>
    <xf numFmtId="0" fontId="10" fillId="10" borderId="0" applyNumberFormat="0" applyBorder="0" applyAlignment="0" applyProtection="0">
      <alignment horizontal="center" vertical="center"/>
    </xf>
    <xf numFmtId="0" fontId="54" fillId="7" borderId="42" applyNumberFormat="0" applyAlignment="0" applyProtection="0">
      <alignment vertical="center"/>
    </xf>
    <xf numFmtId="1" fontId="9" fillId="0" borderId="4">
      <alignment vertical="center"/>
      <protection locked="0"/>
    </xf>
    <xf numFmtId="0" fontId="56" fillId="10" borderId="42" applyNumberFormat="0" applyAlignment="0" applyProtection="0">
      <alignment vertical="center"/>
    </xf>
    <xf numFmtId="0" fontId="56" fillId="10" borderId="42" applyNumberFormat="0" applyAlignment="0" applyProtection="0">
      <alignment vertical="center"/>
    </xf>
    <xf numFmtId="0" fontId="55" fillId="14" borderId="0" applyNumberFormat="0" applyBorder="0" applyAlignment="0" applyProtection="0"/>
    <xf numFmtId="0" fontId="65" fillId="10" borderId="45" applyNumberFormat="0" applyAlignment="0" applyProtection="0">
      <alignment vertical="center"/>
    </xf>
    <xf numFmtId="0" fontId="58" fillId="10" borderId="45" applyNumberFormat="0" applyAlignment="0" applyProtection="0">
      <alignment vertical="center"/>
    </xf>
    <xf numFmtId="0" fontId="58" fillId="10" borderId="45" applyNumberFormat="0" applyAlignment="0" applyProtection="0">
      <alignment vertical="center"/>
    </xf>
    <xf numFmtId="0" fontId="67" fillId="0" borderId="7">
      <alignment horizontal="lef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71" fillId="19" borderId="0" applyNumberFormat="0" applyBorder="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8" fillId="10" borderId="45" applyNumberFormat="0" applyAlignment="0" applyProtection="0">
      <alignment vertical="center"/>
    </xf>
    <xf numFmtId="0" fontId="67" fillId="0" borderId="7">
      <alignment horizontal="lef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71" fillId="19" borderId="0" applyNumberFormat="0" applyBorder="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71" fillId="19" borderId="0" applyNumberFormat="0" applyBorder="0" applyAlignment="0" applyProtection="0">
      <alignment vertical="center"/>
    </xf>
    <xf numFmtId="0" fontId="62" fillId="10" borderId="42" applyNumberFormat="0" applyAlignment="0" applyProtection="0">
      <alignment vertical="center"/>
    </xf>
    <xf numFmtId="0" fontId="58" fillId="10" borderId="45" applyNumberFormat="0" applyAlignment="0" applyProtection="0">
      <alignment vertical="center"/>
    </xf>
    <xf numFmtId="0" fontId="28" fillId="9" borderId="0" applyNumberFormat="0" applyBorder="0" applyAlignment="0" applyProtection="0"/>
    <xf numFmtId="0" fontId="55" fillId="14" borderId="0" applyNumberFormat="0" applyBorder="0" applyAlignment="0" applyProtection="0"/>
    <xf numFmtId="0" fontId="10" fillId="19" borderId="0" applyNumberFormat="0" applyBorder="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1" fontId="9" fillId="0" borderId="4">
      <alignment vertical="center"/>
      <protection locked="0"/>
    </xf>
    <xf numFmtId="0" fontId="56" fillId="10" borderId="42" applyNumberFormat="0" applyAlignment="0" applyProtection="0">
      <alignment vertical="center"/>
    </xf>
    <xf numFmtId="0" fontId="67" fillId="0" borderId="7">
      <alignment horizontal="left" vertical="center"/>
    </xf>
    <xf numFmtId="0" fontId="56" fillId="10" borderId="42" applyNumberFormat="0" applyAlignment="0" applyProtection="0">
      <alignment vertical="center"/>
    </xf>
    <xf numFmtId="0" fontId="61" fillId="12" borderId="0" applyNumberFormat="0" applyBorder="0" applyAlignment="0" applyProtection="0">
      <alignment vertical="center"/>
    </xf>
    <xf numFmtId="0" fontId="69" fillId="5" borderId="0" applyNumberFormat="0" applyBorder="0" applyAlignment="0" applyProtection="0">
      <alignment vertical="center"/>
    </xf>
    <xf numFmtId="0" fontId="71" fillId="18" borderId="0" applyNumberFormat="0" applyBorder="0" applyAlignment="0" applyProtection="0">
      <alignment vertical="center"/>
    </xf>
    <xf numFmtId="0" fontId="54" fillId="7" borderId="42" applyNumberFormat="0" applyAlignment="0" applyProtection="0">
      <alignment vertical="center"/>
    </xf>
    <xf numFmtId="0" fontId="60" fillId="7"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1" fontId="9" fillId="0" borderId="4">
      <alignment vertical="center"/>
      <protection locked="0"/>
    </xf>
    <xf numFmtId="0" fontId="54" fillId="7" borderId="42"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66" fillId="16" borderId="0" applyNumberFormat="0" applyBorder="0" applyAlignment="0" applyProtection="0">
      <alignment vertical="center"/>
    </xf>
    <xf numFmtId="0" fontId="71" fillId="18" borderId="0" applyNumberFormat="0" applyBorder="0" applyAlignment="0" applyProtection="0">
      <alignment vertical="center"/>
    </xf>
    <xf numFmtId="1" fontId="9" fillId="0" borderId="4">
      <alignment vertical="center"/>
      <protection locked="0"/>
    </xf>
    <xf numFmtId="0" fontId="66" fillId="16" borderId="0" applyNumberFormat="0" applyBorder="0" applyAlignment="0" applyProtection="0">
      <alignment vertical="center"/>
    </xf>
    <xf numFmtId="0" fontId="56" fillId="10" borderId="42" applyNumberFormat="0" applyAlignment="0" applyProtection="0">
      <alignment vertical="center"/>
    </xf>
    <xf numFmtId="0" fontId="71" fillId="18" borderId="0" applyNumberFormat="0" applyBorder="0" applyAlignment="0" applyProtection="0">
      <alignment vertical="center"/>
    </xf>
    <xf numFmtId="0" fontId="66" fillId="16" borderId="0" applyNumberFormat="0" applyBorder="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71" fillId="18" borderId="0" applyNumberFormat="0" applyBorder="0" applyAlignment="0" applyProtection="0">
      <alignment vertical="center"/>
    </xf>
    <xf numFmtId="0" fontId="58" fillId="10" borderId="45" applyNumberFormat="0" applyAlignment="0" applyProtection="0">
      <alignment vertical="center"/>
    </xf>
    <xf numFmtId="0" fontId="59" fillId="9" borderId="4" applyNumberFormat="0" applyBorder="0" applyAlignment="0" applyProtection="0"/>
    <xf numFmtId="0" fontId="66" fillId="7" borderId="0" applyNumberFormat="0" applyBorder="0" applyAlignment="0" applyProtection="0">
      <alignment horizontal="center" vertical="center"/>
    </xf>
    <xf numFmtId="0" fontId="56" fillId="10" borderId="42" applyNumberFormat="0" applyAlignment="0" applyProtection="0">
      <alignment vertical="center"/>
    </xf>
    <xf numFmtId="0" fontId="71" fillId="18" borderId="0" applyNumberFormat="0" applyBorder="0" applyAlignment="0" applyProtection="0">
      <alignment vertical="center"/>
    </xf>
    <xf numFmtId="41" fontId="51" fillId="0" borderId="0" applyFont="0" applyFill="0" applyBorder="0" applyAlignment="0" applyProtection="0"/>
    <xf numFmtId="43" fontId="97" fillId="0" borderId="0" applyFont="0" applyFill="0" applyBorder="0" applyAlignment="0" applyProtection="0"/>
    <xf numFmtId="0" fontId="58" fillId="10" borderId="45" applyNumberFormat="0" applyAlignment="0" applyProtection="0">
      <alignment vertical="center"/>
    </xf>
    <xf numFmtId="0" fontId="59" fillId="9" borderId="4" applyNumberFormat="0" applyBorder="0" applyAlignment="0" applyProtection="0"/>
    <xf numFmtId="0" fontId="10" fillId="18" borderId="0" applyNumberFormat="0" applyBorder="0" applyAlignment="0" applyProtection="0">
      <alignment vertical="center"/>
    </xf>
    <xf numFmtId="0" fontId="58" fillId="10" borderId="45" applyNumberFormat="0" applyAlignment="0" applyProtection="0">
      <alignment vertical="center"/>
    </xf>
    <xf numFmtId="0" fontId="66" fillId="5" borderId="0" applyNumberFormat="0" applyBorder="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10" fillId="18" borderId="0" applyNumberFormat="0" applyBorder="0" applyAlignment="0" applyProtection="0">
      <alignment vertical="center"/>
    </xf>
    <xf numFmtId="0" fontId="58" fillId="10" borderId="45" applyNumberFormat="0" applyAlignment="0" applyProtection="0">
      <alignment vertical="center"/>
    </xf>
    <xf numFmtId="0" fontId="58" fillId="10" borderId="45"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4" fillId="7" borderId="42" applyNumberFormat="0" applyAlignment="0" applyProtection="0">
      <alignment vertical="center"/>
    </xf>
    <xf numFmtId="0" fontId="58" fillId="10" borderId="45" applyNumberFormat="0" applyAlignment="0" applyProtection="0">
      <alignment vertical="center"/>
    </xf>
    <xf numFmtId="0" fontId="64" fillId="0" borderId="46" applyProtection="0"/>
    <xf numFmtId="0" fontId="55" fillId="13" borderId="0" applyNumberFormat="0" applyBorder="0" applyAlignment="0" applyProtection="0"/>
    <xf numFmtId="0" fontId="56" fillId="10" borderId="42" applyNumberFormat="0" applyAlignment="0" applyProtection="0">
      <alignment vertical="center"/>
    </xf>
    <xf numFmtId="0" fontId="54" fillId="7" borderId="42" applyNumberFormat="0" applyAlignment="0" applyProtection="0">
      <alignment vertical="center"/>
    </xf>
    <xf numFmtId="0" fontId="71" fillId="28" borderId="0" applyNumberFormat="0" applyBorder="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5" fillId="13" borderId="0" applyNumberFormat="0" applyBorder="0" applyAlignment="0" applyProtection="0"/>
    <xf numFmtId="0" fontId="63" fillId="0" borderId="44" applyNumberFormat="0" applyFill="0" applyAlignment="0" applyProtection="0">
      <alignment vertical="center"/>
    </xf>
    <xf numFmtId="0" fontId="56" fillId="10" borderId="42" applyNumberFormat="0" applyAlignment="0" applyProtection="0">
      <alignment vertical="center"/>
    </xf>
    <xf numFmtId="0" fontId="51" fillId="0" borderId="0">
      <alignment vertical="center"/>
    </xf>
    <xf numFmtId="0" fontId="71" fillId="28" borderId="0" applyNumberFormat="0" applyBorder="0" applyAlignment="0" applyProtection="0">
      <alignment vertical="center"/>
    </xf>
    <xf numFmtId="0" fontId="68" fillId="15" borderId="0" applyNumberFormat="0" applyBorder="0" applyAlignment="0" applyProtection="0">
      <alignment vertical="center"/>
    </xf>
    <xf numFmtId="0" fontId="56" fillId="10" borderId="42" applyNumberFormat="0" applyAlignment="0" applyProtection="0">
      <alignment vertical="center"/>
    </xf>
    <xf numFmtId="0" fontId="71" fillId="28" borderId="0" applyNumberFormat="0" applyBorder="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9" fillId="9" borderId="4" applyNumberFormat="0" applyBorder="0" applyAlignment="0" applyProtection="0"/>
    <xf numFmtId="0" fontId="55" fillId="13" borderId="0" applyNumberFormat="0" applyBorder="0" applyAlignment="0" applyProtection="0"/>
    <xf numFmtId="0" fontId="76" fillId="15" borderId="0" applyNumberFormat="0" applyBorder="0" applyAlignment="0" applyProtection="0">
      <alignment vertical="center"/>
    </xf>
    <xf numFmtId="0" fontId="56" fillId="10" borderId="42" applyNumberFormat="0" applyAlignment="0" applyProtection="0">
      <alignment vertical="center"/>
    </xf>
    <xf numFmtId="0" fontId="71" fillId="28" borderId="0" applyNumberFormat="0" applyBorder="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5" fillId="13" borderId="0" applyNumberFormat="0" applyBorder="0" applyAlignment="0" applyProtection="0"/>
    <xf numFmtId="0" fontId="63" fillId="0" borderId="44" applyNumberFormat="0" applyFill="0" applyAlignment="0" applyProtection="0">
      <alignment vertical="center"/>
    </xf>
    <xf numFmtId="0" fontId="76" fillId="15" borderId="0" applyNumberFormat="0" applyBorder="0" applyAlignment="0" applyProtection="0">
      <alignment vertical="center"/>
    </xf>
    <xf numFmtId="0" fontId="56" fillId="10" borderId="42" applyNumberFormat="0" applyAlignment="0" applyProtection="0">
      <alignment vertical="center"/>
    </xf>
    <xf numFmtId="0" fontId="76" fillId="15" borderId="0" applyNumberFormat="0" applyBorder="0" applyAlignment="0" applyProtection="0">
      <alignment vertical="center"/>
    </xf>
    <xf numFmtId="0" fontId="54" fillId="7" borderId="42" applyNumberFormat="0" applyAlignment="0" applyProtection="0">
      <alignment vertical="center"/>
    </xf>
    <xf numFmtId="0" fontId="71" fillId="28" borderId="0" applyNumberFormat="0" applyBorder="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10" fillId="28" borderId="0" applyNumberFormat="0" applyBorder="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10" fillId="28" borderId="0" applyNumberFormat="0" applyBorder="0" applyAlignment="0" applyProtection="0">
      <alignment vertical="center"/>
    </xf>
    <xf numFmtId="1" fontId="9" fillId="0" borderId="4">
      <alignment vertical="center"/>
      <protection locked="0"/>
    </xf>
    <xf numFmtId="0" fontId="56" fillId="10" borderId="42" applyNumberFormat="0" applyAlignment="0" applyProtection="0">
      <alignment vertical="center"/>
    </xf>
    <xf numFmtId="0" fontId="69" fillId="16" borderId="0" applyNumberFormat="0" applyBorder="0" applyAlignment="0" applyProtection="0">
      <alignment vertical="center"/>
    </xf>
    <xf numFmtId="0" fontId="54" fillId="7" borderId="42" applyNumberFormat="0" applyAlignment="0" applyProtection="0">
      <alignment vertical="center"/>
    </xf>
    <xf numFmtId="0" fontId="10" fillId="10" borderId="0" applyNumberFormat="0" applyBorder="0" applyAlignment="0" applyProtection="0">
      <alignment horizontal="center" vertical="center"/>
    </xf>
    <xf numFmtId="0" fontId="58" fillId="10" borderId="45" applyNumberFormat="0" applyAlignment="0" applyProtection="0">
      <alignment vertical="center"/>
    </xf>
    <xf numFmtId="0" fontId="66" fillId="25" borderId="0" applyNumberFormat="0" applyBorder="0" applyAlignment="0" applyProtection="0">
      <alignment vertical="center"/>
    </xf>
    <xf numFmtId="0" fontId="55" fillId="11" borderId="0" applyNumberFormat="0" applyBorder="0" applyAlignment="0" applyProtection="0"/>
    <xf numFmtId="0" fontId="56" fillId="10" borderId="42" applyNumberFormat="0" applyAlignment="0" applyProtection="0">
      <alignment vertical="center"/>
    </xf>
    <xf numFmtId="0" fontId="58" fillId="10" borderId="45"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66" fillId="25" borderId="0" applyNumberFormat="0" applyBorder="0" applyAlignment="0" applyProtection="0">
      <alignment vertical="center"/>
    </xf>
    <xf numFmtId="0" fontId="55" fillId="11" borderId="0" applyNumberFormat="0" applyBorder="0" applyAlignment="0" applyProtection="0"/>
    <xf numFmtId="0" fontId="68" fillId="15" borderId="0" applyNumberFormat="0" applyBorder="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1" fillId="9" borderId="43" applyNumberFormat="0" applyFont="0" applyAlignment="0" applyProtection="0">
      <alignment vertical="center"/>
    </xf>
    <xf numFmtId="0" fontId="66" fillId="7" borderId="0" applyNumberFormat="0" applyBorder="0" applyAlignment="0" applyProtection="0">
      <alignment horizontal="center"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66" fillId="25" borderId="0" applyNumberFormat="0" applyBorder="0" applyAlignment="0" applyProtection="0">
      <alignment vertical="center"/>
    </xf>
    <xf numFmtId="0" fontId="58" fillId="10" borderId="45" applyNumberFormat="0" applyAlignment="0" applyProtection="0">
      <alignment vertical="center"/>
    </xf>
    <xf numFmtId="0" fontId="54" fillId="7" borderId="42" applyNumberFormat="0" applyAlignment="0" applyProtection="0">
      <alignment vertical="center"/>
    </xf>
    <xf numFmtId="0" fontId="66" fillId="17" borderId="0" applyNumberFormat="0" applyBorder="0" applyAlignment="0" applyProtection="0">
      <alignment vertical="center"/>
    </xf>
    <xf numFmtId="0" fontId="55" fillId="11" borderId="0" applyNumberFormat="0" applyBorder="0" applyAlignment="0" applyProtection="0"/>
    <xf numFmtId="0" fontId="56" fillId="10" borderId="42" applyNumberFormat="0" applyAlignment="0" applyProtection="0">
      <alignment vertical="center"/>
    </xf>
    <xf numFmtId="0" fontId="66" fillId="17" borderId="0" applyNumberFormat="0" applyBorder="0" applyAlignment="0" applyProtection="0">
      <alignment vertical="center"/>
    </xf>
    <xf numFmtId="0" fontId="58" fillId="10" borderId="45" applyNumberFormat="0" applyAlignment="0" applyProtection="0">
      <alignment vertical="center"/>
    </xf>
    <xf numFmtId="0" fontId="66" fillId="20" borderId="0" applyNumberFormat="0" applyBorder="0" applyAlignment="0" applyProtection="0">
      <alignment vertical="center"/>
    </xf>
    <xf numFmtId="0" fontId="55" fillId="11" borderId="0"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61" fillId="12" borderId="0" applyNumberFormat="0" applyBorder="0" applyAlignment="0" applyProtection="0">
      <alignment vertical="center"/>
    </xf>
    <xf numFmtId="0" fontId="58" fillId="10" borderId="45" applyNumberFormat="0" applyAlignment="0" applyProtection="0">
      <alignment vertical="center"/>
    </xf>
    <xf numFmtId="0" fontId="54" fillId="7" borderId="42" applyNumberFormat="0" applyAlignment="0" applyProtection="0">
      <alignment vertical="center"/>
    </xf>
    <xf numFmtId="0" fontId="66" fillId="20" borderId="0" applyNumberFormat="0" applyBorder="0" applyAlignment="0" applyProtection="0">
      <alignment vertical="center"/>
    </xf>
    <xf numFmtId="0" fontId="55" fillId="11" borderId="0" applyNumberFormat="0" applyBorder="0" applyAlignment="0" applyProtection="0"/>
    <xf numFmtId="0" fontId="64" fillId="0" borderId="46" applyProtection="0"/>
    <xf numFmtId="0" fontId="66" fillId="20" borderId="0" applyNumberFormat="0" applyBorder="0" applyAlignment="0" applyProtection="0">
      <alignment vertical="center"/>
    </xf>
    <xf numFmtId="0" fontId="61" fillId="12" borderId="0" applyNumberFormat="0" applyBorder="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66" fillId="16" borderId="0" applyNumberFormat="0" applyBorder="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66" fillId="16" borderId="0" applyNumberFormat="0" applyBorder="0" applyAlignment="0" applyProtection="0">
      <alignment vertical="center"/>
    </xf>
    <xf numFmtId="0" fontId="59" fillId="9" borderId="4" applyNumberFormat="0" applyBorder="0" applyAlignment="0" applyProtection="0"/>
    <xf numFmtId="0" fontId="66" fillId="16"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58" fillId="10" borderId="45" applyNumberFormat="0" applyAlignment="0" applyProtection="0">
      <alignment vertical="center"/>
    </xf>
    <xf numFmtId="0" fontId="76" fillId="15" borderId="0" applyNumberFormat="0" applyBorder="0" applyAlignment="0" applyProtection="0">
      <alignment vertical="center"/>
    </xf>
    <xf numFmtId="0" fontId="56" fillId="10" borderId="42" applyNumberFormat="0" applyAlignment="0" applyProtection="0">
      <alignment vertical="center"/>
    </xf>
    <xf numFmtId="0" fontId="66" fillId="8" borderId="0" applyNumberFormat="0" applyBorder="0" applyAlignment="0" applyProtection="0">
      <alignment vertical="center"/>
    </xf>
    <xf numFmtId="0" fontId="59" fillId="9" borderId="4" applyNumberFormat="0" applyBorder="0" applyAlignment="0" applyProtection="0"/>
    <xf numFmtId="0" fontId="54" fillId="7" borderId="42" applyNumberFormat="0" applyAlignment="0" applyProtection="0">
      <alignment vertical="center"/>
    </xf>
    <xf numFmtId="0" fontId="59" fillId="9" borderId="4" applyNumberFormat="0" applyBorder="0" applyAlignment="0" applyProtection="0"/>
    <xf numFmtId="0" fontId="55" fillId="13" borderId="0" applyNumberFormat="0" applyBorder="0" applyAlignment="0" applyProtection="0"/>
    <xf numFmtId="0" fontId="76" fillId="15" borderId="0" applyNumberFormat="0" applyBorder="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66" fillId="8" borderId="0" applyNumberFormat="0" applyBorder="0" applyAlignment="0" applyProtection="0">
      <alignment vertical="center"/>
    </xf>
    <xf numFmtId="0" fontId="59" fillId="9" borderId="4" applyNumberFormat="0" applyBorder="0" applyAlignment="0" applyProtection="0"/>
    <xf numFmtId="0" fontId="54" fillId="7" borderId="42" applyNumberFormat="0" applyAlignment="0" applyProtection="0">
      <alignment vertical="center"/>
    </xf>
    <xf numFmtId="0" fontId="56" fillId="10" borderId="42" applyNumberFormat="0" applyAlignment="0" applyProtection="0">
      <alignment vertical="center"/>
    </xf>
    <xf numFmtId="0" fontId="66" fillId="8" borderId="0" applyNumberFormat="0" applyBorder="0" applyAlignment="0" applyProtection="0">
      <alignment vertical="center"/>
    </xf>
    <xf numFmtId="0" fontId="69" fillId="25" borderId="0" applyNumberFormat="0" applyBorder="0" applyAlignment="0" applyProtection="0">
      <alignment vertical="center"/>
    </xf>
    <xf numFmtId="0" fontId="65" fillId="10" borderId="45" applyNumberFormat="0" applyAlignment="0" applyProtection="0">
      <alignment vertical="center"/>
    </xf>
    <xf numFmtId="0" fontId="55" fillId="5" borderId="0" applyNumberFormat="0" applyBorder="0" applyAlignment="0" applyProtection="0"/>
    <xf numFmtId="0" fontId="54" fillId="7"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1" fontId="9" fillId="0" borderId="4">
      <alignment vertical="center"/>
      <protection locked="0"/>
    </xf>
    <xf numFmtId="0" fontId="62" fillId="10" borderId="42" applyNumberFormat="0" applyAlignment="0" applyProtection="0">
      <alignment vertical="center"/>
    </xf>
    <xf numFmtId="0" fontId="69" fillId="25" borderId="0" applyNumberFormat="0" applyBorder="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69" fillId="25" borderId="0" applyNumberFormat="0" applyBorder="0" applyAlignment="0" applyProtection="0">
      <alignment vertical="center"/>
    </xf>
    <xf numFmtId="0" fontId="54" fillId="7" borderId="42" applyNumberFormat="0" applyAlignment="0" applyProtection="0">
      <alignment vertical="center"/>
    </xf>
    <xf numFmtId="0" fontId="58" fillId="10" borderId="45" applyNumberFormat="0" applyAlignment="0" applyProtection="0">
      <alignment vertical="center"/>
    </xf>
    <xf numFmtId="0" fontId="84" fillId="15" borderId="0" applyNumberFormat="0" applyBorder="0" applyAlignment="0" applyProtection="0">
      <alignment vertical="center"/>
    </xf>
    <xf numFmtId="0" fontId="51" fillId="9" borderId="43" applyNumberFormat="0" applyFon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1" fontId="9" fillId="0" borderId="4">
      <alignment vertical="center"/>
      <protection locked="0"/>
    </xf>
    <xf numFmtId="0" fontId="58" fillId="10" borderId="45" applyNumberFormat="0" applyAlignment="0" applyProtection="0">
      <alignment vertical="center"/>
    </xf>
    <xf numFmtId="0" fontId="62" fillId="10" borderId="42" applyNumberFormat="0" applyAlignment="0" applyProtection="0">
      <alignment vertical="center"/>
    </xf>
    <xf numFmtId="0" fontId="64" fillId="0" borderId="46" applyProtection="0"/>
    <xf numFmtId="0" fontId="66" fillId="25" borderId="0" applyNumberFormat="0" applyBorder="0" applyAlignment="0" applyProtection="0">
      <alignment vertical="center"/>
    </xf>
    <xf numFmtId="0" fontId="67" fillId="0" borderId="7">
      <alignment horizontal="left" vertical="center"/>
    </xf>
    <xf numFmtId="0" fontId="59" fillId="9" borderId="4" applyNumberFormat="0" applyBorder="0" applyAlignment="0" applyProtection="0"/>
    <xf numFmtId="0" fontId="56" fillId="10"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66" fillId="25" borderId="0" applyNumberFormat="0" applyBorder="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69" fillId="17" borderId="0" applyNumberFormat="0" applyBorder="0" applyAlignment="0" applyProtection="0">
      <alignment vertical="center"/>
    </xf>
    <xf numFmtId="0" fontId="54" fillId="7" borderId="42" applyNumberFormat="0" applyAlignment="0" applyProtection="0">
      <alignment vertical="center"/>
    </xf>
    <xf numFmtId="0" fontId="62" fillId="10" borderId="42" applyNumberFormat="0" applyAlignment="0" applyProtection="0">
      <alignment vertical="center"/>
    </xf>
    <xf numFmtId="0" fontId="54" fillId="7" borderId="42" applyNumberFormat="0" applyAlignment="0" applyProtection="0">
      <alignment vertical="center"/>
    </xf>
    <xf numFmtId="1" fontId="9" fillId="0" borderId="4">
      <alignment vertical="center"/>
      <protection locked="0"/>
    </xf>
    <xf numFmtId="0" fontId="62" fillId="10" borderId="42" applyNumberFormat="0" applyAlignment="0" applyProtection="0">
      <alignment vertical="center"/>
    </xf>
    <xf numFmtId="0" fontId="69" fillId="17" borderId="0" applyNumberFormat="0" applyBorder="0" applyAlignment="0" applyProtection="0">
      <alignment vertical="center"/>
    </xf>
    <xf numFmtId="0" fontId="54" fillId="7" borderId="42" applyNumberFormat="0" applyAlignment="0" applyProtection="0">
      <alignment vertical="center"/>
    </xf>
    <xf numFmtId="0" fontId="66" fillId="17" borderId="0" applyNumberFormat="0" applyBorder="0" applyAlignment="0" applyProtection="0">
      <alignment vertical="center"/>
    </xf>
    <xf numFmtId="0" fontId="68" fillId="15" borderId="0" applyNumberFormat="0" applyBorder="0" applyAlignment="0" applyProtection="0">
      <alignment vertical="center"/>
    </xf>
    <xf numFmtId="0" fontId="28" fillId="6" borderId="0" applyNumberFormat="0" applyBorder="0" applyAlignment="0" applyProtection="0"/>
    <xf numFmtId="0" fontId="64" fillId="0" borderId="46" applyProtection="0"/>
    <xf numFmtId="0" fontId="58" fillId="10" borderId="45" applyNumberFormat="0" applyAlignment="0" applyProtection="0">
      <alignment vertical="center"/>
    </xf>
    <xf numFmtId="0" fontId="55" fillId="11" borderId="0" applyNumberFormat="0" applyBorder="0" applyAlignment="0" applyProtection="0"/>
    <xf numFmtId="0" fontId="85" fillId="0" borderId="0" applyProtection="0"/>
    <xf numFmtId="1" fontId="9" fillId="0" borderId="4">
      <alignment vertical="center"/>
      <protection locked="0"/>
    </xf>
    <xf numFmtId="0" fontId="56" fillId="10" borderId="42" applyNumberFormat="0" applyAlignment="0" applyProtection="0">
      <alignment vertical="center"/>
    </xf>
    <xf numFmtId="0" fontId="66" fillId="20" borderId="0" applyNumberFormat="0" applyBorder="0" applyAlignment="0" applyProtection="0">
      <alignment vertical="center"/>
    </xf>
    <xf numFmtId="0" fontId="63" fillId="0" borderId="44" applyNumberFormat="0" applyFill="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4" fillId="7" borderId="42" applyNumberFormat="0" applyAlignment="0" applyProtection="0">
      <alignment vertical="center"/>
    </xf>
    <xf numFmtId="0" fontId="66" fillId="20" borderId="0" applyNumberFormat="0" applyBorder="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28" fillId="6" borderId="0" applyNumberFormat="0" applyBorder="0" applyAlignment="0" applyProtection="0">
      <alignment vertical="center"/>
    </xf>
    <xf numFmtId="0" fontId="67" fillId="0" borderId="7">
      <alignment horizontal="left" vertical="center"/>
    </xf>
    <xf numFmtId="0" fontId="55" fillId="11" borderId="0" applyNumberFormat="0" applyBorder="0" applyAlignment="0" applyProtection="0"/>
    <xf numFmtId="0" fontId="84" fillId="15" borderId="0" applyNumberFormat="0" applyBorder="0" applyAlignment="0" applyProtection="0">
      <alignment vertical="center"/>
    </xf>
    <xf numFmtId="0" fontId="55" fillId="14" borderId="0" applyNumberFormat="0" applyBorder="0" applyAlignment="0" applyProtection="0"/>
    <xf numFmtId="41" fontId="51" fillId="0" borderId="0" applyFont="0" applyFill="0" applyBorder="0" applyAlignment="0" applyProtection="0"/>
    <xf numFmtId="43" fontId="97" fillId="0" borderId="0" applyFont="0" applyFill="0" applyBorder="0" applyAlignment="0" applyProtection="0"/>
    <xf numFmtId="1" fontId="9" fillId="0" borderId="4">
      <alignment vertical="center"/>
      <protection locked="0"/>
    </xf>
    <xf numFmtId="0" fontId="54" fillId="7" borderId="42"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9" fillId="9" borderId="4" applyNumberFormat="0" applyBorder="0" applyAlignment="0" applyProtection="0"/>
    <xf numFmtId="0" fontId="66" fillId="10" borderId="0" applyNumberFormat="0" applyBorder="0" applyAlignment="0" applyProtection="0">
      <alignment horizontal="center" vertical="center"/>
    </xf>
    <xf numFmtId="0" fontId="54" fillId="7" borderId="42" applyNumberFormat="0" applyAlignment="0" applyProtection="0">
      <alignment vertical="center"/>
    </xf>
    <xf numFmtId="0" fontId="55" fillId="10" borderId="0" applyNumberFormat="0" applyBorder="0" applyAlignment="0" applyProtection="0"/>
    <xf numFmtId="0" fontId="68" fillId="15" borderId="0" applyNumberFormat="0" applyBorder="0" applyAlignment="0" applyProtection="0">
      <alignment vertical="center"/>
    </xf>
    <xf numFmtId="0" fontId="61" fillId="12" borderId="0" applyNumberFormat="0" applyBorder="0" applyAlignment="0" applyProtection="0">
      <alignment vertical="center"/>
    </xf>
    <xf numFmtId="0" fontId="64" fillId="0" borderId="46" applyProtection="0"/>
    <xf numFmtId="0" fontId="55" fillId="11" borderId="0"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62" fillId="10"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69" fillId="16" borderId="0" applyNumberFormat="0" applyBorder="0" applyAlignment="0" applyProtection="0">
      <alignment vertical="center"/>
    </xf>
    <xf numFmtId="0" fontId="56" fillId="10" borderId="42" applyNumberFormat="0" applyAlignment="0" applyProtection="0">
      <alignment vertical="center"/>
    </xf>
    <xf numFmtId="43" fontId="97" fillId="0" borderId="0" applyFont="0" applyFill="0" applyBorder="0" applyAlignment="0" applyProtection="0"/>
    <xf numFmtId="0" fontId="69" fillId="16" borderId="0" applyNumberFormat="0" applyBorder="0" applyAlignment="0" applyProtection="0">
      <alignment vertical="center"/>
    </xf>
    <xf numFmtId="0" fontId="55" fillId="8" borderId="0" applyNumberFormat="0" applyBorder="0" applyAlignment="0" applyProtection="0"/>
    <xf numFmtId="0" fontId="69" fillId="5" borderId="0" applyNumberFormat="0" applyBorder="0" applyAlignment="0" applyProtection="0">
      <alignment vertical="center"/>
    </xf>
    <xf numFmtId="0" fontId="56" fillId="10" borderId="42" applyNumberFormat="0" applyAlignment="0" applyProtection="0">
      <alignment vertical="center"/>
    </xf>
    <xf numFmtId="1" fontId="9" fillId="0" borderId="4">
      <alignment vertical="center"/>
      <protection locked="0"/>
    </xf>
    <xf numFmtId="0" fontId="69" fillId="5" borderId="0" applyNumberFormat="0" applyBorder="0" applyAlignment="0" applyProtection="0">
      <alignment vertical="center"/>
    </xf>
    <xf numFmtId="0" fontId="56" fillId="10" borderId="42" applyNumberFormat="0" applyAlignment="0" applyProtection="0">
      <alignment vertical="center"/>
    </xf>
    <xf numFmtId="1" fontId="9" fillId="0" borderId="4">
      <alignment vertical="center"/>
      <protection locked="0"/>
    </xf>
    <xf numFmtId="0" fontId="66" fillId="5" borderId="0" applyNumberFormat="0" applyBorder="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66" fillId="5" borderId="0" applyNumberFormat="0" applyBorder="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9" fillId="9" borderId="4" applyNumberFormat="0" applyBorder="0" applyAlignment="0" applyProtection="0"/>
    <xf numFmtId="0" fontId="66" fillId="29" borderId="0" applyNumberFormat="0" applyBorder="0" applyAlignment="0" applyProtection="0">
      <alignment horizontal="center"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5" fillId="8" borderId="0" applyNumberFormat="0" applyBorder="0" applyAlignment="0" applyProtection="0"/>
    <xf numFmtId="0" fontId="67" fillId="0" borderId="7">
      <alignment horizontal="left" vertical="center"/>
    </xf>
    <xf numFmtId="0" fontId="69" fillId="8" borderId="0" applyNumberFormat="0" applyBorder="0" applyAlignment="0" applyProtection="0">
      <alignment vertical="center"/>
    </xf>
    <xf numFmtId="0" fontId="56" fillId="10" borderId="42" applyNumberFormat="0" applyAlignment="0" applyProtection="0">
      <alignment vertical="center"/>
    </xf>
    <xf numFmtId="0" fontId="62"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5" fillId="14" borderId="0" applyNumberFormat="0" applyBorder="0" applyAlignment="0" applyProtection="0"/>
    <xf numFmtId="0" fontId="58" fillId="10" borderId="45" applyNumberFormat="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69" fillId="8" borderId="0" applyNumberFormat="0" applyBorder="0" applyAlignment="0" applyProtection="0">
      <alignment vertical="center"/>
    </xf>
    <xf numFmtId="0" fontId="59" fillId="9" borderId="4" applyNumberFormat="0" applyBorder="0" applyAlignment="0" applyProtection="0"/>
    <xf numFmtId="0" fontId="59" fillId="9" borderId="4" applyNumberFormat="0" applyBorder="0" applyAlignment="0" applyProtection="0"/>
    <xf numFmtId="0" fontId="55" fillId="11" borderId="0" applyNumberFormat="0" applyBorder="0" applyAlignment="0" applyProtection="0"/>
    <xf numFmtId="0" fontId="56" fillId="10" borderId="42" applyNumberFormat="0" applyAlignment="0" applyProtection="0">
      <alignment vertical="center"/>
    </xf>
    <xf numFmtId="0" fontId="55" fillId="8" borderId="0" applyNumberFormat="0" applyBorder="0" applyAlignment="0" applyProtection="0"/>
    <xf numFmtId="1" fontId="9" fillId="0" borderId="4">
      <alignment vertical="center"/>
      <protection locked="0"/>
    </xf>
    <xf numFmtId="0" fontId="69" fillId="8" borderId="0" applyNumberFormat="0" applyBorder="0" applyAlignment="0" applyProtection="0">
      <alignment vertical="center"/>
    </xf>
    <xf numFmtId="0" fontId="62" fillId="10" borderId="42" applyNumberFormat="0" applyAlignment="0" applyProtection="0">
      <alignment vertical="center"/>
    </xf>
    <xf numFmtId="0" fontId="56" fillId="10" borderId="42" applyNumberFormat="0" applyAlignment="0" applyProtection="0">
      <alignment vertical="center"/>
    </xf>
    <xf numFmtId="0" fontId="66" fillId="8" borderId="0" applyNumberFormat="0" applyBorder="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66" fillId="10" borderId="0" applyNumberFormat="0" applyBorder="0" applyAlignment="0" applyProtection="0">
      <alignment horizontal="center"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65" fillId="10" borderId="45" applyNumberFormat="0" applyAlignment="0" applyProtection="0">
      <alignment vertical="center"/>
    </xf>
    <xf numFmtId="0" fontId="54" fillId="7" borderId="42" applyNumberFormat="0" applyAlignment="0" applyProtection="0">
      <alignment vertical="center"/>
    </xf>
    <xf numFmtId="0" fontId="73" fillId="0" borderId="0">
      <protection locked="0"/>
    </xf>
    <xf numFmtId="0" fontId="54" fillId="7" borderId="42" applyNumberFormat="0" applyAlignment="0" applyProtection="0">
      <alignment vertical="center"/>
    </xf>
    <xf numFmtId="0" fontId="60" fillId="7" borderId="42" applyNumberFormat="0" applyAlignment="0" applyProtection="0">
      <alignment vertical="center"/>
    </xf>
    <xf numFmtId="0" fontId="28" fillId="6" borderId="0" applyNumberFormat="0" applyBorder="0" applyAlignment="0" applyProtection="0"/>
    <xf numFmtId="0" fontId="54" fillId="7" borderId="42" applyNumberFormat="0" applyAlignment="0" applyProtection="0">
      <alignment vertical="center"/>
    </xf>
    <xf numFmtId="0" fontId="60" fillId="7" borderId="42" applyNumberFormat="0" applyAlignment="0" applyProtection="0">
      <alignment vertical="center"/>
    </xf>
    <xf numFmtId="0" fontId="28" fillId="6" borderId="0" applyNumberFormat="0" applyBorder="0" applyAlignment="0" applyProtection="0"/>
    <xf numFmtId="0" fontId="60" fillId="7" borderId="42" applyNumberFormat="0" applyAlignment="0" applyProtection="0">
      <alignment vertical="center"/>
    </xf>
    <xf numFmtId="0" fontId="68" fillId="15" borderId="0" applyNumberFormat="0" applyBorder="0" applyAlignment="0" applyProtection="0">
      <alignment vertical="center"/>
    </xf>
    <xf numFmtId="0" fontId="97" fillId="0" borderId="2" applyNumberFormat="0" applyFill="0" applyProtection="0">
      <alignment horizontal="right"/>
    </xf>
    <xf numFmtId="0" fontId="55" fillId="13" borderId="0" applyNumberFormat="0" applyBorder="0" applyAlignment="0" applyProtection="0"/>
    <xf numFmtId="0" fontId="59" fillId="9" borderId="4" applyNumberFormat="0" applyBorder="0" applyAlignment="0" applyProtection="0"/>
    <xf numFmtId="0" fontId="60" fillId="7" borderId="42" applyNumberFormat="0" applyAlignment="0" applyProtection="0">
      <alignment vertical="center"/>
    </xf>
    <xf numFmtId="0" fontId="97" fillId="0" borderId="2" applyNumberFormat="0" applyFill="0" applyProtection="0">
      <alignment horizontal="right"/>
    </xf>
    <xf numFmtId="0" fontId="55" fillId="13" borderId="0" applyNumberFormat="0" applyBorder="0" applyAlignment="0" applyProtection="0"/>
    <xf numFmtId="0" fontId="59" fillId="9" borderId="4" applyNumberFormat="0" applyBorder="0" applyAlignment="0" applyProtection="0"/>
    <xf numFmtId="0" fontId="54" fillId="7" borderId="42" applyNumberFormat="0" applyAlignment="0" applyProtection="0">
      <alignment vertical="center"/>
    </xf>
    <xf numFmtId="0" fontId="54" fillId="7" borderId="42" applyNumberFormat="0" applyAlignment="0" applyProtection="0">
      <alignment vertical="center"/>
    </xf>
    <xf numFmtId="0" fontId="60" fillId="7" borderId="42" applyNumberFormat="0" applyAlignment="0" applyProtection="0">
      <alignment vertical="center"/>
    </xf>
    <xf numFmtId="0" fontId="86" fillId="19" borderId="0" applyNumberFormat="0" applyBorder="0" applyAlignment="0" applyProtection="0">
      <alignment vertical="center"/>
    </xf>
    <xf numFmtId="0" fontId="28" fillId="6" borderId="0" applyNumberFormat="0" applyBorder="0" applyAlignment="0" applyProtection="0"/>
    <xf numFmtId="0" fontId="59" fillId="9" borderId="4" applyNumberFormat="0" applyBorder="0" applyAlignment="0" applyProtection="0"/>
    <xf numFmtId="0" fontId="54" fillId="7" borderId="42" applyNumberFormat="0" applyAlignment="0" applyProtection="0">
      <alignment vertical="center"/>
    </xf>
    <xf numFmtId="0" fontId="28" fillId="6" borderId="0" applyNumberFormat="0" applyBorder="0" applyAlignment="0" applyProtection="0">
      <alignment vertical="center"/>
    </xf>
    <xf numFmtId="0" fontId="60" fillId="7" borderId="42" applyNumberFormat="0" applyAlignment="0" applyProtection="0">
      <alignment vertical="center"/>
    </xf>
    <xf numFmtId="0" fontId="62" fillId="10" borderId="42" applyNumberFormat="0" applyAlignment="0" applyProtection="0">
      <alignment vertical="center"/>
    </xf>
    <xf numFmtId="0" fontId="55" fillId="13" borderId="0" applyNumberFormat="0" applyBorder="0" applyAlignment="0" applyProtection="0"/>
    <xf numFmtId="0" fontId="59" fillId="9" borderId="4" applyNumberFormat="0" applyBorder="0" applyAlignment="0" applyProtection="0"/>
    <xf numFmtId="0" fontId="55" fillId="18" borderId="0"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55" fillId="18" borderId="0" applyNumberFormat="0" applyBorder="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64" fillId="0" borderId="46" applyProtection="0"/>
    <xf numFmtId="0" fontId="55" fillId="11" borderId="0" applyNumberFormat="0" applyBorder="0" applyAlignment="0" applyProtection="0"/>
    <xf numFmtId="0" fontId="64" fillId="0" borderId="46" applyProtection="0"/>
    <xf numFmtId="0" fontId="55" fillId="11" borderId="0" applyNumberFormat="0" applyBorder="0" applyAlignment="0" applyProtection="0"/>
    <xf numFmtId="0" fontId="56" fillId="10" borderId="42" applyNumberFormat="0" applyAlignment="0" applyProtection="0">
      <alignment vertical="center"/>
    </xf>
    <xf numFmtId="0" fontId="55" fillId="11" borderId="0" applyNumberFormat="0" applyBorder="0" applyAlignment="0" applyProtection="0"/>
    <xf numFmtId="0" fontId="55" fillId="11" borderId="0" applyNumberFormat="0" applyBorder="0" applyAlignment="0" applyProtection="0">
      <alignment vertical="center"/>
    </xf>
    <xf numFmtId="0" fontId="56" fillId="10" borderId="42" applyNumberFormat="0" applyAlignment="0" applyProtection="0">
      <alignment vertical="center"/>
    </xf>
    <xf numFmtId="0" fontId="55" fillId="11" borderId="0" applyNumberFormat="0" applyBorder="0" applyAlignment="0" applyProtection="0"/>
    <xf numFmtId="0" fontId="80" fillId="0" borderId="1" applyNumberFormat="0" applyFill="0" applyProtection="0">
      <alignment horizontal="center"/>
    </xf>
    <xf numFmtId="0" fontId="56" fillId="10"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5" fillId="11" borderId="0" applyNumberFormat="0" applyBorder="0" applyAlignment="0" applyProtection="0"/>
    <xf numFmtId="43" fontId="51" fillId="0" borderId="0" applyFont="0" applyFill="0" applyBorder="0" applyAlignment="0" applyProtection="0"/>
    <xf numFmtId="0" fontId="56" fillId="10" borderId="42" applyNumberFormat="0" applyAlignment="0" applyProtection="0">
      <alignment vertical="center"/>
    </xf>
    <xf numFmtId="0" fontId="80" fillId="0" borderId="1" applyNumberFormat="0" applyFill="0" applyProtection="0">
      <alignment horizontal="center"/>
    </xf>
    <xf numFmtId="0" fontId="56" fillId="10" borderId="42" applyNumberFormat="0" applyAlignment="0" applyProtection="0">
      <alignment vertical="center"/>
    </xf>
    <xf numFmtId="0" fontId="55" fillId="11" borderId="0" applyNumberFormat="0" applyBorder="0" applyAlignment="0" applyProtection="0"/>
    <xf numFmtId="0" fontId="58" fillId="10" borderId="45" applyNumberForma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80" fillId="0" borderId="1" applyNumberFormat="0" applyFill="0" applyProtection="0">
      <alignment horizont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5" fillId="11" borderId="0" applyNumberFormat="0" applyBorder="0" applyAlignment="0" applyProtection="0"/>
    <xf numFmtId="0" fontId="64" fillId="0" borderId="46"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55" fillId="11" borderId="0" applyNumberFormat="0" applyBorder="0" applyAlignment="0" applyProtection="0"/>
    <xf numFmtId="0" fontId="56" fillId="10" borderId="42" applyNumberFormat="0" applyAlignment="0" applyProtection="0">
      <alignment vertical="center"/>
    </xf>
    <xf numFmtId="0" fontId="55" fillId="11" borderId="0" applyNumberFormat="0" applyBorder="0" applyAlignment="0" applyProtection="0"/>
    <xf numFmtId="0" fontId="54" fillId="7" borderId="42"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9" fillId="9" borderId="4" applyNumberFormat="0" applyBorder="0" applyAlignment="0" applyProtection="0"/>
    <xf numFmtId="0" fontId="55" fillId="11" borderId="0" applyNumberFormat="0" applyBorder="0" applyAlignment="0" applyProtection="0"/>
    <xf numFmtId="0" fontId="56" fillId="10" borderId="42" applyNumberFormat="0" applyAlignment="0" applyProtection="0">
      <alignment vertical="center"/>
    </xf>
    <xf numFmtId="0" fontId="59" fillId="9" borderId="4" applyNumberFormat="0" applyBorder="0" applyAlignment="0" applyProtection="0"/>
    <xf numFmtId="0" fontId="55" fillId="11" borderId="0" applyNumberFormat="0" applyBorder="0" applyAlignment="0" applyProtection="0"/>
    <xf numFmtId="0" fontId="64" fillId="0" borderId="46" applyProtection="0"/>
    <xf numFmtId="0" fontId="54" fillId="7"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9" fillId="9" borderId="4" applyNumberFormat="0" applyBorder="0" applyAlignment="0" applyProtection="0"/>
    <xf numFmtId="0" fontId="55" fillId="11" borderId="0" applyNumberFormat="0" applyBorder="0" applyAlignment="0" applyProtection="0"/>
    <xf numFmtId="0" fontId="64" fillId="0" borderId="46"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5" fillId="11" borderId="0" applyNumberFormat="0" applyBorder="0" applyAlignment="0" applyProtection="0"/>
    <xf numFmtId="0" fontId="56" fillId="10" borderId="42" applyNumberFormat="0" applyAlignment="0" applyProtection="0">
      <alignment vertical="center"/>
    </xf>
    <xf numFmtId="0" fontId="60" fillId="7"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9" fillId="9" borderId="4" applyNumberFormat="0" applyBorder="0" applyAlignment="0" applyProtection="0"/>
    <xf numFmtId="0" fontId="55" fillId="11" borderId="0" applyNumberFormat="0" applyBorder="0" applyAlignment="0" applyProtection="0"/>
    <xf numFmtId="0" fontId="54" fillId="7" borderId="42" applyNumberFormat="0" applyAlignment="0" applyProtection="0">
      <alignment vertical="center"/>
    </xf>
    <xf numFmtId="0" fontId="66" fillId="22" borderId="0" applyNumberFormat="0" applyBorder="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5" fillId="11" borderId="0" applyNumberFormat="0" applyBorder="0" applyAlignment="0" applyProtection="0"/>
    <xf numFmtId="1" fontId="97" fillId="0" borderId="1" applyFill="0" applyProtection="0">
      <alignment horizontal="center"/>
    </xf>
    <xf numFmtId="0" fontId="62" fillId="10" borderId="42" applyNumberFormat="0" applyAlignment="0" applyProtection="0">
      <alignment vertical="center"/>
    </xf>
    <xf numFmtId="0" fontId="54" fillId="7" borderId="42" applyNumberFormat="0" applyAlignment="0" applyProtection="0">
      <alignment vertical="center"/>
    </xf>
    <xf numFmtId="0" fontId="28" fillId="9" borderId="0" applyNumberFormat="0" applyBorder="0" applyAlignment="0" applyProtection="0"/>
    <xf numFmtId="0" fontId="67" fillId="0" borderId="7">
      <alignment horizontal="left" vertical="center"/>
    </xf>
    <xf numFmtId="0" fontId="58" fillId="10" borderId="45" applyNumberFormat="0" applyAlignment="0" applyProtection="0">
      <alignment vertical="center"/>
    </xf>
    <xf numFmtId="0" fontId="58" fillId="10" borderId="45" applyNumberForma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7" fillId="0" borderId="44" applyNumberFormat="0" applyFill="0" applyAlignment="0" applyProtection="0">
      <alignment vertical="center"/>
    </xf>
    <xf numFmtId="0" fontId="28" fillId="10" borderId="0" applyNumberFormat="0" applyBorder="0" applyAlignment="0" applyProtection="0"/>
    <xf numFmtId="0" fontId="60" fillId="7" borderId="42" applyNumberFormat="0" applyAlignment="0" applyProtection="0">
      <alignment vertical="center"/>
    </xf>
    <xf numFmtId="0" fontId="58" fillId="10" borderId="45" applyNumberFormat="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5" fillId="14" borderId="0" applyNumberFormat="0" applyBorder="0" applyAlignment="0" applyProtection="0"/>
    <xf numFmtId="0" fontId="55" fillId="13" borderId="0" applyNumberFormat="0" applyBorder="0" applyAlignment="0" applyProtection="0"/>
    <xf numFmtId="0" fontId="56" fillId="10" borderId="42" applyNumberFormat="0" applyAlignment="0" applyProtection="0">
      <alignment vertical="center"/>
    </xf>
    <xf numFmtId="0" fontId="97" fillId="0" borderId="2" applyNumberFormat="0" applyFill="0" applyProtection="0">
      <alignment horizontal="right"/>
    </xf>
    <xf numFmtId="0" fontId="55" fillId="13" borderId="0" applyNumberFormat="0" applyBorder="0" applyAlignment="0" applyProtection="0"/>
    <xf numFmtId="0" fontId="97" fillId="0" borderId="2" applyNumberFormat="0" applyFill="0" applyProtection="0">
      <alignment horizontal="right"/>
    </xf>
    <xf numFmtId="0" fontId="55" fillId="13" borderId="0" applyNumberFormat="0" applyBorder="0" applyAlignment="0" applyProtection="0"/>
    <xf numFmtId="0" fontId="54" fillId="7" borderId="42" applyNumberFormat="0" applyAlignment="0" applyProtection="0">
      <alignment vertical="center"/>
    </xf>
    <xf numFmtId="0" fontId="60" fillId="7" borderId="42" applyNumberFormat="0" applyAlignment="0" applyProtection="0">
      <alignment vertical="center"/>
    </xf>
    <xf numFmtId="0" fontId="55" fillId="13" borderId="0" applyNumberFormat="0" applyBorder="0" applyAlignment="0" applyProtection="0"/>
    <xf numFmtId="0" fontId="56" fillId="10"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60" fillId="7" borderId="42" applyNumberFormat="0" applyAlignment="0" applyProtection="0">
      <alignment vertical="center"/>
    </xf>
    <xf numFmtId="0" fontId="55" fillId="13" borderId="0" applyNumberFormat="0" applyBorder="0" applyAlignment="0" applyProtection="0"/>
    <xf numFmtId="0" fontId="51" fillId="9" borderId="43" applyNumberFormat="0" applyFont="0" applyAlignment="0" applyProtection="0">
      <alignment vertical="center"/>
    </xf>
    <xf numFmtId="0" fontId="56" fillId="10" borderId="42" applyNumberFormat="0" applyAlignment="0" applyProtection="0">
      <alignment vertical="center"/>
    </xf>
    <xf numFmtId="0" fontId="60" fillId="7" borderId="42" applyNumberFormat="0" applyAlignment="0" applyProtection="0">
      <alignment vertical="center"/>
    </xf>
    <xf numFmtId="0" fontId="61" fillId="12" borderId="0" applyNumberFormat="0" applyBorder="0" applyAlignment="0" applyProtection="0">
      <alignment vertical="center"/>
    </xf>
    <xf numFmtId="0" fontId="55" fillId="13" borderId="0" applyNumberFormat="0" applyBorder="0" applyAlignment="0" applyProtection="0"/>
    <xf numFmtId="0" fontId="55" fillId="13" borderId="0" applyNumberFormat="0" applyBorder="0" applyAlignment="0" applyProtection="0"/>
    <xf numFmtId="0" fontId="59" fillId="9" borderId="4" applyNumberFormat="0" applyBorder="0" applyAlignment="0" applyProtection="0"/>
    <xf numFmtId="0" fontId="56" fillId="10" borderId="42" applyNumberFormat="0" applyAlignment="0" applyProtection="0">
      <alignment vertical="center"/>
    </xf>
    <xf numFmtId="0" fontId="62" fillId="10" borderId="42" applyNumberFormat="0" applyAlignment="0" applyProtection="0">
      <alignment vertical="center"/>
    </xf>
    <xf numFmtId="0" fontId="54" fillId="7" borderId="42" applyNumberFormat="0" applyAlignment="0" applyProtection="0">
      <alignment vertical="center"/>
    </xf>
    <xf numFmtId="0" fontId="55" fillId="13" borderId="0" applyNumberFormat="0" applyBorder="0" applyAlignment="0" applyProtection="0"/>
    <xf numFmtId="0" fontId="51" fillId="9" borderId="43" applyNumberFormat="0" applyFont="0" applyAlignment="0" applyProtection="0">
      <alignment vertical="center"/>
    </xf>
    <xf numFmtId="0" fontId="56" fillId="10" borderId="42" applyNumberFormat="0" applyAlignment="0" applyProtection="0">
      <alignment vertical="center"/>
    </xf>
    <xf numFmtId="0" fontId="60" fillId="7" borderId="42" applyNumberFormat="0" applyAlignment="0" applyProtection="0">
      <alignment vertical="center"/>
    </xf>
    <xf numFmtId="0" fontId="55" fillId="13" borderId="0" applyNumberFormat="0" applyBorder="0" applyAlignment="0" applyProtection="0"/>
    <xf numFmtId="0" fontId="55" fillId="13" borderId="0" applyNumberFormat="0" applyBorder="0" applyAlignment="0" applyProtection="0">
      <alignment vertical="center"/>
    </xf>
    <xf numFmtId="0" fontId="56" fillId="10" borderId="42" applyNumberFormat="0" applyAlignment="0" applyProtection="0">
      <alignment vertical="center"/>
    </xf>
    <xf numFmtId="0" fontId="62" fillId="10" borderId="42" applyNumberFormat="0" applyAlignment="0" applyProtection="0">
      <alignment vertical="center"/>
    </xf>
    <xf numFmtId="0" fontId="87" fillId="0" borderId="0"/>
    <xf numFmtId="0" fontId="54" fillId="7" borderId="42" applyNumberFormat="0" applyAlignment="0" applyProtection="0">
      <alignment vertical="center"/>
    </xf>
    <xf numFmtId="0" fontId="55" fillId="13" borderId="0" applyNumberFormat="0" applyBorder="0" applyAlignment="0" applyProtection="0"/>
    <xf numFmtId="0" fontId="51" fillId="9" borderId="43" applyNumberFormat="0" applyFont="0" applyAlignment="0" applyProtection="0">
      <alignment vertical="center"/>
    </xf>
    <xf numFmtId="0" fontId="56" fillId="10" borderId="42" applyNumberFormat="0" applyAlignment="0" applyProtection="0">
      <alignment vertical="center"/>
    </xf>
    <xf numFmtId="43" fontId="10" fillId="0" borderId="0" applyFont="0" applyFill="0" applyBorder="0" applyAlignment="0" applyProtection="0">
      <alignment vertical="center"/>
    </xf>
    <xf numFmtId="0" fontId="56" fillId="10" borderId="42" applyNumberFormat="0" applyAlignment="0" applyProtection="0">
      <alignment vertical="center"/>
    </xf>
    <xf numFmtId="0" fontId="55" fillId="13" borderId="0" applyNumberFormat="0" applyBorder="0" applyAlignment="0" applyProtection="0"/>
    <xf numFmtId="43" fontId="10" fillId="0" borderId="0" applyFont="0" applyFill="0" applyBorder="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62" fillId="10"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5" fillId="13" borderId="0" applyNumberFormat="0" applyBorder="0" applyAlignment="0" applyProtection="0"/>
    <xf numFmtId="0" fontId="55" fillId="13" borderId="0" applyNumberFormat="0" applyBorder="0" applyAlignment="0" applyProtection="0"/>
    <xf numFmtId="0" fontId="56" fillId="10" borderId="42" applyNumberFormat="0" applyAlignment="0" applyProtection="0">
      <alignment vertical="center"/>
    </xf>
    <xf numFmtId="0" fontId="62" fillId="10" borderId="42" applyNumberFormat="0" applyAlignment="0" applyProtection="0">
      <alignment vertical="center"/>
    </xf>
    <xf numFmtId="0" fontId="54" fillId="7" borderId="42" applyNumberFormat="0" applyAlignment="0" applyProtection="0">
      <alignment vertical="center"/>
    </xf>
    <xf numFmtId="0" fontId="55" fillId="13" borderId="0" applyNumberFormat="0" applyBorder="0" applyAlignment="0" applyProtection="0"/>
    <xf numFmtId="0" fontId="51" fillId="9" borderId="43" applyNumberFormat="0" applyFont="0" applyAlignment="0" applyProtection="0">
      <alignment vertical="center"/>
    </xf>
    <xf numFmtId="0" fontId="56" fillId="10" borderId="42" applyNumberFormat="0" applyAlignment="0" applyProtection="0">
      <alignment vertical="center"/>
    </xf>
    <xf numFmtId="0" fontId="55" fillId="13" borderId="0" applyNumberFormat="0" applyBorder="0" applyAlignment="0" applyProtection="0"/>
    <xf numFmtId="0" fontId="58" fillId="10" borderId="45"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1" fillId="9" borderId="43" applyNumberFormat="0" applyFont="0" applyAlignment="0" applyProtection="0">
      <alignment vertical="center"/>
    </xf>
    <xf numFmtId="0" fontId="54" fillId="7" borderId="42" applyNumberFormat="0" applyAlignment="0" applyProtection="0">
      <alignment vertical="center"/>
    </xf>
    <xf numFmtId="0" fontId="60" fillId="7" borderId="42" applyNumberFormat="0" applyAlignment="0" applyProtection="0">
      <alignment vertical="center"/>
    </xf>
    <xf numFmtId="0" fontId="68" fillId="15" borderId="0" applyNumberFormat="0" applyBorder="0" applyAlignment="0" applyProtection="0">
      <alignment vertical="center"/>
    </xf>
    <xf numFmtId="0" fontId="59" fillId="9" borderId="4" applyNumberFormat="0" applyBorder="0" applyAlignment="0" applyProtection="0"/>
    <xf numFmtId="0" fontId="55" fillId="13" borderId="0" applyNumberFormat="0" applyBorder="0" applyAlignment="0" applyProtection="0"/>
    <xf numFmtId="0" fontId="58" fillId="10" borderId="45" applyNumberFormat="0" applyAlignment="0" applyProtection="0">
      <alignment vertical="center"/>
    </xf>
    <xf numFmtId="0" fontId="61" fillId="12" borderId="0" applyNumberFormat="0" applyBorder="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5" fillId="13" borderId="0" applyNumberFormat="0" applyBorder="0" applyAlignment="0" applyProtection="0"/>
    <xf numFmtId="0" fontId="58" fillId="10" borderId="45" applyNumberFormat="0" applyAlignment="0" applyProtection="0">
      <alignment vertical="center"/>
    </xf>
    <xf numFmtId="0" fontId="56" fillId="10" borderId="42" applyNumberFormat="0" applyAlignment="0" applyProtection="0">
      <alignment vertical="center"/>
    </xf>
    <xf numFmtId="0" fontId="55" fillId="13" borderId="0" applyNumberFormat="0" applyBorder="0" applyAlignment="0" applyProtection="0"/>
    <xf numFmtId="0" fontId="54" fillId="7"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5" fillId="13" borderId="0" applyNumberFormat="0" applyBorder="0" applyAlignment="0" applyProtection="0"/>
    <xf numFmtId="0" fontId="64" fillId="0" borderId="46" applyProtection="0"/>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9" fillId="9" borderId="4" applyNumberFormat="0" applyBorder="0" applyAlignment="0" applyProtection="0"/>
    <xf numFmtId="0" fontId="55" fillId="13" borderId="0" applyNumberFormat="0" applyBorder="0" applyAlignment="0" applyProtection="0"/>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65" fillId="10" borderId="45" applyNumberFormat="0" applyAlignment="0" applyProtection="0">
      <alignment vertical="center"/>
    </xf>
    <xf numFmtId="0" fontId="65" fillId="10" borderId="45"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5" fillId="13" borderId="0" applyNumberFormat="0" applyBorder="0" applyAlignment="0" applyProtection="0"/>
    <xf numFmtId="0" fontId="59" fillId="9" borderId="4" applyNumberFormat="0" applyBorder="0" applyAlignment="0" applyProtection="0"/>
    <xf numFmtId="0" fontId="56" fillId="10" borderId="42" applyNumberFormat="0" applyAlignment="0" applyProtection="0">
      <alignment vertical="center"/>
    </xf>
    <xf numFmtId="0" fontId="62" fillId="10"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5" fillId="13" borderId="0" applyNumberFormat="0" applyBorder="0" applyAlignment="0" applyProtection="0"/>
    <xf numFmtId="0" fontId="56" fillId="10" borderId="42" applyNumberFormat="0" applyAlignment="0" applyProtection="0">
      <alignment vertical="center"/>
    </xf>
    <xf numFmtId="0" fontId="60" fillId="7" borderId="42" applyNumberFormat="0" applyAlignment="0" applyProtection="0">
      <alignment vertical="center"/>
    </xf>
    <xf numFmtId="0" fontId="66" fillId="23" borderId="0" applyNumberFormat="0" applyBorder="0" applyAlignment="0" applyProtection="0">
      <alignment vertical="center"/>
    </xf>
    <xf numFmtId="0" fontId="62"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5" fillId="14" borderId="0" applyNumberFormat="0" applyBorder="0" applyAlignment="0" applyProtection="0"/>
    <xf numFmtId="0" fontId="59" fillId="9" borderId="4" applyNumberFormat="0" applyBorder="0" applyAlignment="0" applyProtection="0"/>
    <xf numFmtId="0" fontId="68" fillId="15" borderId="0" applyNumberFormat="0" applyBorder="0" applyAlignment="0" applyProtection="0">
      <alignment vertical="center"/>
    </xf>
    <xf numFmtId="0" fontId="56" fillId="10" borderId="42" applyNumberFormat="0" applyAlignment="0" applyProtection="0">
      <alignment vertical="center"/>
    </xf>
    <xf numFmtId="0" fontId="55" fillId="5" borderId="0"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60" fillId="7"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63" fillId="0" borderId="44" applyNumberFormat="0" applyFill="0" applyAlignment="0" applyProtection="0">
      <alignment vertical="center"/>
    </xf>
    <xf numFmtId="0" fontId="28" fillId="9" borderId="0" applyNumberFormat="0" applyBorder="0" applyAlignment="0" applyProtection="0"/>
    <xf numFmtId="0" fontId="88" fillId="0" borderId="2" applyNumberFormat="0" applyFill="0" applyProtection="0">
      <alignment horizontal="center"/>
    </xf>
    <xf numFmtId="0" fontId="28" fillId="9" borderId="0" applyNumberFormat="0" applyBorder="0" applyAlignment="0" applyProtection="0"/>
    <xf numFmtId="0" fontId="59" fillId="9" borderId="4" applyNumberFormat="0" applyBorder="0" applyAlignment="0" applyProtection="0"/>
    <xf numFmtId="0" fontId="88" fillId="0" borderId="2" applyNumberFormat="0" applyFill="0" applyProtection="0">
      <alignment horizontal="center"/>
    </xf>
    <xf numFmtId="43" fontId="97" fillId="0" borderId="0" applyFont="0" applyFill="0" applyBorder="0" applyAlignment="0" applyProtection="0"/>
    <xf numFmtId="0" fontId="58" fillId="10" borderId="45" applyNumberFormat="0" applyAlignment="0" applyProtection="0">
      <alignment vertical="center"/>
    </xf>
    <xf numFmtId="0" fontId="65" fillId="10" borderId="45" applyNumberFormat="0" applyAlignment="0" applyProtection="0">
      <alignment vertical="center"/>
    </xf>
    <xf numFmtId="0" fontId="55" fillId="14" borderId="0" applyNumberFormat="0" applyBorder="0" applyAlignment="0" applyProtection="0"/>
    <xf numFmtId="0" fontId="56" fillId="10" borderId="42" applyNumberFormat="0" applyAlignment="0" applyProtection="0">
      <alignment vertical="center"/>
    </xf>
    <xf numFmtId="0" fontId="57" fillId="0" borderId="44" applyNumberFormat="0" applyFill="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1" fillId="9" borderId="43" applyNumberFormat="0" applyFon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28" fillId="9" borderId="0" applyNumberFormat="0" applyBorder="0" applyAlignment="0" applyProtection="0">
      <alignment vertical="center"/>
    </xf>
    <xf numFmtId="0" fontId="56" fillId="10" borderId="42" applyNumberFormat="0" applyAlignment="0" applyProtection="0">
      <alignment vertical="center"/>
    </xf>
    <xf numFmtId="0" fontId="55" fillId="11" borderId="0" applyNumberFormat="0" applyBorder="0" applyAlignment="0" applyProtection="0"/>
    <xf numFmtId="0" fontId="56" fillId="10" borderId="42" applyNumberFormat="0" applyAlignment="0" applyProtection="0">
      <alignment vertical="center"/>
    </xf>
    <xf numFmtId="0" fontId="28" fillId="15" borderId="0" applyNumberFormat="0" applyBorder="0" applyAlignment="0" applyProtection="0"/>
    <xf numFmtId="0" fontId="56" fillId="10" borderId="42" applyNumberFormat="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60" fillId="7" borderId="42" applyNumberFormat="0" applyAlignment="0" applyProtection="0">
      <alignment vertical="center"/>
    </xf>
    <xf numFmtId="0" fontId="60" fillId="7" borderId="42" applyNumberFormat="0" applyAlignment="0" applyProtection="0">
      <alignment vertical="center"/>
    </xf>
    <xf numFmtId="1" fontId="9" fillId="0" borderId="4">
      <alignment vertical="center"/>
      <protection locked="0"/>
    </xf>
    <xf numFmtId="0" fontId="54" fillId="7" borderId="42" applyNumberFormat="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28" fillId="15" borderId="0" applyNumberFormat="0" applyBorder="0" applyAlignment="0" applyProtection="0"/>
    <xf numFmtId="0" fontId="60"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28" fillId="15" borderId="0" applyNumberFormat="0" applyBorder="0" applyAlignment="0" applyProtection="0"/>
    <xf numFmtId="0" fontId="54" fillId="7" borderId="42" applyNumberFormat="0" applyAlignment="0" applyProtection="0">
      <alignment vertical="center"/>
    </xf>
    <xf numFmtId="0" fontId="28" fillId="15" borderId="0" applyNumberFormat="0" applyBorder="0" applyAlignment="0" applyProtection="0">
      <alignment vertical="center"/>
    </xf>
    <xf numFmtId="0" fontId="54" fillId="7" borderId="42" applyNumberFormat="0" applyAlignment="0" applyProtection="0">
      <alignment vertical="center"/>
    </xf>
    <xf numFmtId="0" fontId="51" fillId="9" borderId="43" applyNumberFormat="0" applyFont="0" applyAlignment="0" applyProtection="0">
      <alignment vertical="center"/>
    </xf>
    <xf numFmtId="0" fontId="55" fillId="10" borderId="0" applyNumberFormat="0" applyBorder="0" applyAlignment="0" applyProtection="0"/>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5" fillId="14" borderId="0" applyNumberFormat="0" applyBorder="0" applyAlignment="0" applyProtection="0"/>
    <xf numFmtId="0" fontId="64" fillId="0" borderId="46" applyProtection="0"/>
    <xf numFmtId="0" fontId="56" fillId="10" borderId="42" applyNumberFormat="0" applyAlignment="0" applyProtection="0">
      <alignment vertical="center"/>
    </xf>
    <xf numFmtId="0" fontId="64" fillId="0" borderId="46" applyProtection="0"/>
    <xf numFmtId="0" fontId="56" fillId="10" borderId="42" applyNumberFormat="0" applyAlignment="0" applyProtection="0">
      <alignment vertical="center"/>
    </xf>
    <xf numFmtId="0" fontId="51" fillId="9" borderId="43" applyNumberFormat="0" applyFont="0" applyAlignment="0" applyProtection="0">
      <alignment vertical="center"/>
    </xf>
    <xf numFmtId="0" fontId="58" fillId="10" borderId="45" applyNumberFormat="0" applyAlignment="0" applyProtection="0">
      <alignment vertical="center"/>
    </xf>
    <xf numFmtId="0" fontId="55" fillId="10" borderId="0" applyNumberFormat="0" applyBorder="0" applyAlignment="0" applyProtection="0"/>
    <xf numFmtId="0" fontId="54" fillId="7" borderId="42" applyNumberFormat="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5" fillId="10" borderId="0" applyNumberFormat="0" applyBorder="0" applyAlignment="0" applyProtection="0">
      <alignment vertical="center"/>
    </xf>
    <xf numFmtId="0" fontId="54" fillId="7" borderId="42" applyNumberFormat="0" applyAlignment="0" applyProtection="0">
      <alignment vertical="center"/>
    </xf>
    <xf numFmtId="0" fontId="55" fillId="14" borderId="0" applyNumberFormat="0" applyBorder="0" applyAlignment="0" applyProtection="0"/>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8" fillId="10" borderId="45" applyNumberFormat="0" applyAlignment="0" applyProtection="0">
      <alignment vertical="center"/>
    </xf>
    <xf numFmtId="0" fontId="55" fillId="14" borderId="0" applyNumberFormat="0" applyBorder="0" applyAlignment="0" applyProtection="0"/>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5" fillId="14" borderId="0" applyNumberFormat="0" applyBorder="0" applyAlignment="0" applyProtection="0"/>
    <xf numFmtId="0" fontId="56" fillId="10" borderId="42" applyNumberFormat="0" applyAlignment="0" applyProtection="0">
      <alignment vertical="center"/>
    </xf>
    <xf numFmtId="0" fontId="51" fillId="9" borderId="43" applyNumberFormat="0" applyFont="0" applyAlignment="0" applyProtection="0">
      <alignment vertical="center"/>
    </xf>
    <xf numFmtId="0" fontId="58" fillId="10" borderId="45" applyNumberFormat="0" applyAlignment="0" applyProtection="0">
      <alignment vertical="center"/>
    </xf>
    <xf numFmtId="0" fontId="55" fillId="14" borderId="0" applyNumberFormat="0" applyBorder="0" applyAlignment="0" applyProtection="0"/>
    <xf numFmtId="0" fontId="56" fillId="10" borderId="42" applyNumberFormat="0" applyAlignment="0" applyProtection="0">
      <alignment vertical="center"/>
    </xf>
    <xf numFmtId="0" fontId="54" fillId="7" borderId="42" applyNumberFormat="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61" fillId="12" borderId="0" applyNumberFormat="0" applyBorder="0" applyAlignment="0" applyProtection="0">
      <alignment vertical="center"/>
    </xf>
    <xf numFmtId="0" fontId="81" fillId="12" borderId="0" applyNumberFormat="0" applyBorder="0" applyAlignment="0" applyProtection="0">
      <alignment vertical="center"/>
    </xf>
    <xf numFmtId="0" fontId="62" fillId="10" borderId="42" applyNumberFormat="0" applyAlignment="0" applyProtection="0">
      <alignment vertical="center"/>
    </xf>
    <xf numFmtId="0" fontId="58" fillId="10" borderId="45" applyNumberFormat="0" applyAlignment="0" applyProtection="0">
      <alignment vertical="center"/>
    </xf>
    <xf numFmtId="0" fontId="60" fillId="7" borderId="42" applyNumberFormat="0" applyAlignment="0" applyProtection="0">
      <alignment vertical="center"/>
    </xf>
    <xf numFmtId="0" fontId="55" fillId="14" borderId="0"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62" fillId="10" borderId="42" applyNumberForma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5" fillId="14" borderId="0"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5" fillId="14" borderId="0" applyNumberFormat="0" applyBorder="0" applyAlignment="0" applyProtection="0">
      <alignment vertical="center"/>
    </xf>
    <xf numFmtId="0" fontId="55" fillId="14" borderId="0" applyNumberFormat="0" applyBorder="0" applyAlignment="0" applyProtection="0"/>
    <xf numFmtId="0" fontId="55" fillId="14" borderId="0" applyNumberFormat="0" applyBorder="0" applyAlignment="0" applyProtection="0"/>
    <xf numFmtId="0" fontId="62"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1" fontId="9" fillId="0" borderId="4">
      <alignment vertical="center"/>
      <protection locked="0"/>
    </xf>
    <xf numFmtId="0" fontId="54" fillId="7"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8" fillId="10" borderId="45" applyNumberFormat="0" applyAlignment="0" applyProtection="0">
      <alignment vertical="center"/>
    </xf>
    <xf numFmtId="0" fontId="55" fillId="14" borderId="0" applyNumberFormat="0" applyBorder="0" applyAlignment="0" applyProtection="0"/>
    <xf numFmtId="0" fontId="56" fillId="10" borderId="42" applyNumberFormat="0" applyAlignment="0" applyProtection="0">
      <alignment vertical="center"/>
    </xf>
    <xf numFmtId="0" fontId="65" fillId="10" borderId="45" applyNumberFormat="0" applyAlignment="0" applyProtection="0">
      <alignment vertical="center"/>
    </xf>
    <xf numFmtId="1" fontId="9" fillId="0" borderId="4">
      <alignment vertical="center"/>
      <protection locked="0"/>
    </xf>
    <xf numFmtId="0" fontId="59" fillId="9" borderId="4" applyNumberFormat="0" applyBorder="0" applyAlignment="0" applyProtection="0"/>
    <xf numFmtId="0" fontId="56" fillId="10"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8" fillId="10" borderId="45" applyNumberFormat="0" applyAlignment="0" applyProtection="0">
      <alignment vertical="center"/>
    </xf>
    <xf numFmtId="0" fontId="55" fillId="14" borderId="0" applyNumberFormat="0" applyBorder="0" applyAlignment="0" applyProtection="0"/>
    <xf numFmtId="0" fontId="65" fillId="10" borderId="45" applyNumberFormat="0" applyAlignment="0" applyProtection="0">
      <alignment vertical="center"/>
    </xf>
    <xf numFmtId="0" fontId="51" fillId="9" borderId="43" applyNumberFormat="0" applyFon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5" fillId="14" borderId="0" applyNumberFormat="0" applyBorder="0" applyAlignment="0" applyProtection="0"/>
    <xf numFmtId="0" fontId="59" fillId="9" borderId="4" applyNumberFormat="0" applyBorder="0" applyAlignment="0" applyProtection="0"/>
    <xf numFmtId="0" fontId="56" fillId="10" borderId="42" applyNumberFormat="0" applyAlignment="0" applyProtection="0">
      <alignment vertical="center"/>
    </xf>
    <xf numFmtId="0" fontId="54" fillId="7" borderId="42" applyNumberFormat="0" applyAlignment="0" applyProtection="0">
      <alignment vertical="center"/>
    </xf>
    <xf numFmtId="0" fontId="65" fillId="10" borderId="45"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5" fillId="14" borderId="0" applyNumberFormat="0" applyBorder="0" applyAlignment="0" applyProtection="0"/>
    <xf numFmtId="43" fontId="97" fillId="0" borderId="0" applyFont="0" applyFill="0" applyBorder="0" applyAlignment="0" applyProtection="0"/>
    <xf numFmtId="0" fontId="56" fillId="10"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4" fillId="7" borderId="42" applyNumberFormat="0" applyAlignment="0" applyProtection="0">
      <alignment vertical="center"/>
    </xf>
    <xf numFmtId="0" fontId="65" fillId="10" borderId="45" applyNumberFormat="0" applyAlignment="0" applyProtection="0">
      <alignment vertical="center"/>
    </xf>
    <xf numFmtId="0" fontId="67" fillId="0" borderId="7">
      <alignment horizontal="lef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1" fillId="9" borderId="43" applyNumberFormat="0" applyFon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5" fillId="14" borderId="0" applyNumberFormat="0" applyBorder="0" applyAlignment="0" applyProtection="0"/>
    <xf numFmtId="0" fontId="64" fillId="0" borderId="46" applyProtection="0"/>
    <xf numFmtId="0" fontId="58" fillId="10" borderId="45"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5" fillId="14" borderId="0" applyNumberFormat="0" applyBorder="0" applyAlignment="0" applyProtection="0"/>
    <xf numFmtId="0" fontId="59" fillId="9" borderId="4" applyNumberFormat="0" applyBorder="0" applyAlignment="0" applyProtection="0"/>
    <xf numFmtId="0" fontId="57" fillId="0" borderId="44" applyNumberFormat="0" applyFill="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5" fillId="14" borderId="0" applyNumberFormat="0" applyBorder="0" applyAlignment="0" applyProtection="0"/>
    <xf numFmtId="0" fontId="59" fillId="9" borderId="4" applyNumberFormat="0" applyBorder="0" applyAlignment="0" applyProtection="0"/>
    <xf numFmtId="0" fontId="57" fillId="0" borderId="44" applyNumberFormat="0" applyFill="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67" fillId="0" borderId="7">
      <alignment horizontal="lef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5" fillId="14" borderId="0" applyNumberFormat="0" applyBorder="0" applyAlignment="0" applyProtection="0"/>
    <xf numFmtId="0" fontId="59" fillId="9" borderId="4" applyNumberFormat="0" applyBorder="0" applyAlignment="0" applyProtection="0"/>
    <xf numFmtId="0" fontId="57" fillId="0" borderId="44" applyNumberFormat="0" applyFill="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65" fillId="10" borderId="45" applyNumberFormat="0" applyAlignment="0" applyProtection="0">
      <alignment vertical="center"/>
    </xf>
    <xf numFmtId="0" fontId="65" fillId="10" borderId="45"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8" fillId="10" borderId="45" applyNumberFormat="0" applyAlignment="0" applyProtection="0">
      <alignment vertical="center"/>
    </xf>
    <xf numFmtId="0" fontId="67" fillId="0" borderId="7">
      <alignment horizontal="left" vertical="center"/>
    </xf>
    <xf numFmtId="0" fontId="55" fillId="14" borderId="0" applyNumberFormat="0" applyBorder="0" applyAlignment="0" applyProtection="0"/>
    <xf numFmtId="0" fontId="59" fillId="9" borderId="4" applyNumberFormat="0" applyBorder="0" applyAlignment="0" applyProtection="0"/>
    <xf numFmtId="0" fontId="59" fillId="9" borderId="4" applyNumberFormat="0" applyBorder="0" applyAlignment="0" applyProtection="0"/>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67" fillId="0" borderId="7">
      <alignment horizontal="lef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5" fillId="14" borderId="0" applyNumberFormat="0" applyBorder="0" applyAlignment="0" applyProtection="0"/>
    <xf numFmtId="0" fontId="59" fillId="9" borderId="4" applyNumberFormat="0" applyBorder="0" applyAlignment="0" applyProtection="0"/>
    <xf numFmtId="0" fontId="57" fillId="0" borderId="44" applyNumberFormat="0" applyFill="0" applyAlignment="0" applyProtection="0">
      <alignment vertical="center"/>
    </xf>
    <xf numFmtId="0" fontId="60" fillId="7"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8" fillId="10" borderId="45" applyNumberFormat="0" applyAlignment="0" applyProtection="0">
      <alignment vertical="center"/>
    </xf>
    <xf numFmtId="0" fontId="67" fillId="0" borderId="7">
      <alignment horizontal="left" vertical="center"/>
    </xf>
    <xf numFmtId="0" fontId="55" fillId="14" borderId="0" applyNumberFormat="0" applyBorder="0" applyAlignment="0" applyProtection="0"/>
    <xf numFmtId="0" fontId="54" fillId="7" borderId="42" applyNumberForma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67" fillId="0" borderId="7">
      <alignment horizontal="left" vertical="center"/>
    </xf>
    <xf numFmtId="0" fontId="55" fillId="14" borderId="0" applyNumberFormat="0" applyBorder="0" applyAlignment="0" applyProtection="0"/>
    <xf numFmtId="0" fontId="59" fillId="9" borderId="4" applyNumberFormat="0" applyBorder="0" applyAlignment="0" applyProtection="0"/>
    <xf numFmtId="0" fontId="54" fillId="7"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66" fillId="30" borderId="0" applyNumberFormat="0" applyBorder="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9" fillId="9" borderId="4" applyNumberFormat="0" applyBorder="0" applyAlignment="0" applyProtection="0"/>
    <xf numFmtId="0" fontId="54" fillId="7" borderId="42" applyNumberFormat="0" applyAlignment="0" applyProtection="0">
      <alignment vertical="center"/>
    </xf>
    <xf numFmtId="0" fontId="56" fillId="10" borderId="42" applyNumberFormat="0" applyAlignment="0" applyProtection="0">
      <alignment vertical="center"/>
    </xf>
    <xf numFmtId="0" fontId="55" fillId="11" borderId="0" applyNumberFormat="0" applyBorder="0" applyAlignment="0" applyProtection="0"/>
    <xf numFmtId="0" fontId="59" fillId="9" borderId="4" applyNumberFormat="0" applyBorder="0" applyAlignment="0" applyProtection="0"/>
    <xf numFmtId="0" fontId="68" fillId="15" borderId="0" applyNumberFormat="0" applyBorder="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28" fillId="6" borderId="0" applyNumberFormat="0" applyBorder="0" applyAlignment="0" applyProtection="0"/>
    <xf numFmtId="0" fontId="51" fillId="9" borderId="43" applyNumberFormat="0" applyFont="0" applyAlignment="0" applyProtection="0">
      <alignment vertical="center"/>
    </xf>
    <xf numFmtId="0" fontId="28" fillId="6" borderId="0" applyNumberFormat="0" applyBorder="0" applyAlignment="0" applyProtection="0"/>
    <xf numFmtId="0" fontId="28" fillId="6" borderId="0" applyNumberFormat="0" applyBorder="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28" fillId="10" borderId="0" applyNumberFormat="0" applyBorder="0" applyAlignment="0" applyProtection="0"/>
    <xf numFmtId="0" fontId="61" fillId="12" borderId="0" applyNumberFormat="0" applyBorder="0" applyAlignment="0" applyProtection="0">
      <alignment vertical="center"/>
    </xf>
    <xf numFmtId="0" fontId="60" fillId="7" borderId="42" applyNumberFormat="0" applyAlignment="0" applyProtection="0">
      <alignment vertical="center"/>
    </xf>
    <xf numFmtId="0" fontId="60"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28" fillId="10" borderId="0" applyNumberFormat="0" applyBorder="0" applyAlignment="0" applyProtection="0"/>
    <xf numFmtId="0" fontId="60" fillId="7" borderId="42" applyNumberFormat="0" applyAlignment="0" applyProtection="0">
      <alignment vertical="center"/>
    </xf>
    <xf numFmtId="0" fontId="67" fillId="0" borderId="7">
      <alignment horizontal="left" vertical="center"/>
    </xf>
    <xf numFmtId="0" fontId="28" fillId="10" borderId="0" applyNumberFormat="0" applyBorder="0" applyAlignment="0" applyProtection="0"/>
    <xf numFmtId="0" fontId="62" fillId="10" borderId="42" applyNumberFormat="0" applyAlignment="0" applyProtection="0">
      <alignment vertical="center"/>
    </xf>
    <xf numFmtId="0" fontId="28" fillId="10" borderId="0" applyNumberFormat="0" applyBorder="0" applyAlignment="0" applyProtection="0">
      <alignment vertical="center"/>
    </xf>
    <xf numFmtId="0" fontId="54" fillId="7" borderId="42" applyNumberFormat="0" applyAlignment="0" applyProtection="0">
      <alignment vertical="center"/>
    </xf>
    <xf numFmtId="0" fontId="62"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65" fillId="10" borderId="45" applyNumberFormat="0" applyAlignment="0" applyProtection="0">
      <alignment vertical="center"/>
    </xf>
    <xf numFmtId="0" fontId="67" fillId="0" borderId="7">
      <alignment horizontal="lef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5" fillId="10" borderId="0" applyNumberFormat="0" applyBorder="0" applyAlignment="0" applyProtection="0"/>
    <xf numFmtId="0" fontId="54" fillId="7" borderId="42" applyNumberFormat="0" applyAlignment="0" applyProtection="0">
      <alignment vertical="center"/>
    </xf>
    <xf numFmtId="0" fontId="55" fillId="10" borderId="0" applyNumberFormat="0" applyBorder="0" applyAlignment="0" applyProtection="0"/>
    <xf numFmtId="0" fontId="55" fillId="5" borderId="0" applyNumberFormat="0" applyBorder="0" applyAlignment="0" applyProtection="0"/>
    <xf numFmtId="0" fontId="55" fillId="10" borderId="0" applyNumberFormat="0" applyBorder="0" applyAlignment="0" applyProtection="0"/>
    <xf numFmtId="0" fontId="57" fillId="0" borderId="44" applyNumberFormat="0" applyFill="0" applyAlignment="0" applyProtection="0">
      <alignment vertical="center"/>
    </xf>
    <xf numFmtId="0" fontId="55" fillId="10" borderId="0" applyNumberFormat="0" applyBorder="0" applyAlignment="0" applyProtection="0">
      <alignment vertical="center"/>
    </xf>
    <xf numFmtId="0" fontId="54" fillId="7" borderId="42" applyNumberFormat="0" applyAlignment="0" applyProtection="0">
      <alignment vertical="center"/>
    </xf>
    <xf numFmtId="0" fontId="51" fillId="27" borderId="0" applyNumberFormat="0" applyFont="0" applyBorder="0" applyAlignment="0" applyProtection="0"/>
    <xf numFmtId="0" fontId="62" fillId="10" borderId="42" applyNumberFormat="0" applyAlignment="0" applyProtection="0">
      <alignment vertical="center"/>
    </xf>
    <xf numFmtId="0" fontId="56" fillId="10" borderId="42" applyNumberFormat="0" applyAlignment="0" applyProtection="0">
      <alignment vertical="center"/>
    </xf>
    <xf numFmtId="0" fontId="65" fillId="10" borderId="45" applyNumberFormat="0" applyAlignment="0" applyProtection="0">
      <alignment vertical="center"/>
    </xf>
    <xf numFmtId="0" fontId="55" fillId="11" borderId="0" applyNumberFormat="0" applyBorder="0" applyAlignment="0" applyProtection="0"/>
    <xf numFmtId="0" fontId="59" fillId="9" borderId="4" applyNumberFormat="0" applyBorder="0" applyAlignment="0" applyProtection="0"/>
    <xf numFmtId="0" fontId="56" fillId="10" borderId="42" applyNumberFormat="0" applyAlignment="0" applyProtection="0">
      <alignment vertical="center"/>
    </xf>
    <xf numFmtId="0" fontId="51" fillId="9" borderId="43" applyNumberFormat="0" applyFont="0" applyAlignment="0" applyProtection="0">
      <alignment vertical="center"/>
    </xf>
    <xf numFmtId="0" fontId="64" fillId="0" borderId="46" applyProtection="0"/>
    <xf numFmtId="0" fontId="67" fillId="0" borderId="7">
      <alignment horizontal="lef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5" fillId="11" borderId="0" applyNumberFormat="0" applyBorder="0" applyAlignment="0" applyProtection="0"/>
    <xf numFmtId="0" fontId="59" fillId="9" borderId="4" applyNumberFormat="0" applyBorder="0" applyAlignment="0" applyProtection="0"/>
    <xf numFmtId="0" fontId="57" fillId="0" borderId="44" applyNumberFormat="0" applyFill="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61" fillId="12" borderId="0" applyNumberFormat="0" applyBorder="0" applyAlignment="0" applyProtection="0">
      <alignment vertical="center"/>
    </xf>
    <xf numFmtId="0" fontId="55" fillId="11" borderId="0" applyNumberFormat="0" applyBorder="0" applyAlignment="0" applyProtection="0"/>
    <xf numFmtId="0" fontId="59" fillId="9" borderId="4" applyNumberFormat="0" applyBorder="0" applyAlignment="0" applyProtection="0"/>
    <xf numFmtId="0" fontId="56" fillId="10" borderId="42" applyNumberFormat="0" applyAlignment="0" applyProtection="0">
      <alignment vertical="center"/>
    </xf>
    <xf numFmtId="0" fontId="51" fillId="9" borderId="43" applyNumberFormat="0" applyFont="0" applyAlignment="0" applyProtection="0">
      <alignment vertical="center"/>
    </xf>
    <xf numFmtId="0" fontId="67" fillId="0" borderId="7">
      <alignment horizontal="lef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1" fillId="9" borderId="43" applyNumberFormat="0" applyFont="0" applyAlignment="0" applyProtection="0">
      <alignment vertical="center"/>
    </xf>
    <xf numFmtId="4" fontId="51" fillId="0" borderId="0" applyFont="0" applyFill="0" applyBorder="0" applyAlignment="0" applyProtection="0">
      <alignment vertical="center"/>
    </xf>
    <xf numFmtId="0" fontId="58" fillId="10" borderId="45" applyNumberFormat="0" applyAlignment="0" applyProtection="0">
      <alignment vertical="center"/>
    </xf>
    <xf numFmtId="0" fontId="55" fillId="11" borderId="0" applyNumberFormat="0" applyBorder="0" applyAlignment="0" applyProtection="0"/>
    <xf numFmtId="0" fontId="61" fillId="19" borderId="0" applyNumberFormat="0" applyBorder="0" applyAlignment="0" applyProtection="0">
      <alignment vertical="center"/>
    </xf>
    <xf numFmtId="0" fontId="55" fillId="11" borderId="0" applyNumberFormat="0" applyBorder="0" applyAlignment="0" applyProtection="0"/>
    <xf numFmtId="0" fontId="59" fillId="9" borderId="4" applyNumberFormat="0" applyBorder="0" applyAlignment="0" applyProtection="0"/>
    <xf numFmtId="0" fontId="64" fillId="0" borderId="46" applyProtection="0"/>
    <xf numFmtId="0" fontId="55" fillId="11" borderId="0" applyNumberFormat="0" applyBorder="0" applyAlignment="0" applyProtection="0"/>
    <xf numFmtId="0" fontId="59" fillId="9" borderId="4" applyNumberFormat="0" applyBorder="0" applyAlignment="0" applyProtection="0"/>
    <xf numFmtId="0" fontId="59" fillId="9" borderId="4" applyNumberFormat="0" applyBorder="0" applyAlignment="0" applyProtection="0"/>
    <xf numFmtId="0" fontId="55" fillId="11" borderId="0" applyNumberFormat="0" applyBorder="0" applyAlignment="0" applyProtection="0"/>
    <xf numFmtId="0" fontId="59" fillId="9" borderId="4" applyNumberFormat="0" applyBorder="0" applyAlignment="0" applyProtection="0"/>
    <xf numFmtId="0" fontId="51" fillId="9" borderId="43" applyNumberFormat="0" applyFont="0" applyAlignment="0" applyProtection="0">
      <alignment vertical="center"/>
    </xf>
    <xf numFmtId="0" fontId="64" fillId="0" borderId="46" applyProtection="0"/>
    <xf numFmtId="0" fontId="55" fillId="11" borderId="0" applyNumberFormat="0" applyBorder="0" applyAlignment="0" applyProtection="0"/>
    <xf numFmtId="0" fontId="56" fillId="10" borderId="42" applyNumberFormat="0" applyAlignment="0" applyProtection="0">
      <alignment vertical="center"/>
    </xf>
    <xf numFmtId="0" fontId="55" fillId="11" borderId="0" applyNumberFormat="0" applyBorder="0" applyAlignment="0" applyProtection="0"/>
    <xf numFmtId="0" fontId="55" fillId="11" borderId="0" applyNumberFormat="0" applyBorder="0" applyAlignment="0" applyProtection="0"/>
    <xf numFmtId="0" fontId="59" fillId="9" borderId="4"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1" fillId="9" borderId="43" applyNumberFormat="0" applyFont="0" applyAlignment="0" applyProtection="0">
      <alignment vertical="center"/>
    </xf>
    <xf numFmtId="0" fontId="55" fillId="11" borderId="0" applyNumberFormat="0" applyBorder="0" applyAlignment="0" applyProtection="0"/>
    <xf numFmtId="0" fontId="55" fillId="11" borderId="0" applyNumberFormat="0" applyBorder="0" applyAlignment="0" applyProtection="0">
      <alignment vertical="center"/>
    </xf>
    <xf numFmtId="0" fontId="59" fillId="9" borderId="4" applyNumberFormat="0" applyBorder="0" applyAlignment="0" applyProtection="0"/>
    <xf numFmtId="0" fontId="62"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8" fillId="10" borderId="45" applyNumberFormat="0" applyAlignment="0" applyProtection="0">
      <alignment vertical="center"/>
    </xf>
    <xf numFmtId="0" fontId="58" fillId="10" borderId="45" applyNumberFormat="0" applyAlignment="0" applyProtection="0">
      <alignment vertical="center"/>
    </xf>
    <xf numFmtId="0" fontId="55" fillId="11" borderId="0" applyNumberFormat="0" applyBorder="0" applyAlignment="0" applyProtection="0"/>
    <xf numFmtId="0" fontId="56" fillId="10" borderId="42" applyNumberFormat="0" applyAlignment="0" applyProtection="0">
      <alignment vertical="center"/>
    </xf>
    <xf numFmtId="0" fontId="59" fillId="9" borderId="4" applyNumberFormat="0" applyBorder="0" applyAlignment="0" applyProtection="0"/>
    <xf numFmtId="0" fontId="54" fillId="7"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8" fillId="10" borderId="45" applyNumberFormat="0" applyAlignment="0" applyProtection="0">
      <alignment vertical="center"/>
    </xf>
    <xf numFmtId="0" fontId="54" fillId="7" borderId="42" applyNumberFormat="0" applyAlignment="0" applyProtection="0">
      <alignment vertical="center"/>
    </xf>
    <xf numFmtId="0" fontId="59" fillId="9" borderId="4" applyNumberFormat="0" applyBorder="0" applyAlignment="0" applyProtection="0"/>
    <xf numFmtId="0" fontId="67" fillId="0" borderId="7">
      <alignment horizontal="left" vertical="center"/>
    </xf>
    <xf numFmtId="0" fontId="56" fillId="10" borderId="42" applyNumberFormat="0" applyAlignment="0" applyProtection="0">
      <alignment vertical="center"/>
    </xf>
    <xf numFmtId="0" fontId="55" fillId="11" borderId="0" applyNumberFormat="0" applyBorder="0" applyAlignment="0" applyProtection="0"/>
    <xf numFmtId="0" fontId="54" fillId="7" borderId="42" applyNumberFormat="0" applyAlignment="0" applyProtection="0">
      <alignment vertical="center"/>
    </xf>
    <xf numFmtId="0" fontId="54" fillId="7" borderId="42" applyNumberFormat="0" applyAlignment="0" applyProtection="0">
      <alignment vertical="center"/>
    </xf>
    <xf numFmtId="0" fontId="59" fillId="9" borderId="4" applyNumberFormat="0" applyBorder="0" applyAlignment="0" applyProtection="0"/>
    <xf numFmtId="0" fontId="55" fillId="11" borderId="0" applyNumberFormat="0" applyBorder="0" applyAlignment="0" applyProtection="0"/>
    <xf numFmtId="0" fontId="54" fillId="7"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5" fillId="11" borderId="0" applyNumberFormat="0" applyBorder="0" applyAlignment="0" applyProtection="0"/>
    <xf numFmtId="0" fontId="54" fillId="7"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1" fontId="9" fillId="0" borderId="4">
      <alignment vertical="center"/>
      <protection locked="0"/>
    </xf>
    <xf numFmtId="0" fontId="54" fillId="7" borderId="42" applyNumberFormat="0" applyAlignment="0" applyProtection="0">
      <alignment vertical="center"/>
    </xf>
    <xf numFmtId="0" fontId="59" fillId="9" borderId="4" applyNumberFormat="0" applyBorder="0" applyAlignment="0" applyProtection="0"/>
    <xf numFmtId="0" fontId="54" fillId="7" borderId="42" applyNumberFormat="0" applyAlignment="0" applyProtection="0">
      <alignment vertical="center"/>
    </xf>
    <xf numFmtId="0" fontId="55" fillId="8" borderId="0" applyNumberFormat="0" applyBorder="0" applyAlignment="0" applyProtection="0"/>
    <xf numFmtId="0" fontId="56" fillId="10" borderId="42" applyNumberFormat="0" applyAlignment="0" applyProtection="0">
      <alignment vertical="center"/>
    </xf>
    <xf numFmtId="0" fontId="51" fillId="9" borderId="43" applyNumberFormat="0" applyFont="0" applyAlignment="0" applyProtection="0">
      <alignment vertical="center"/>
    </xf>
    <xf numFmtId="0" fontId="58" fillId="10" borderId="45"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60" fillId="7" borderId="42" applyNumberFormat="0" applyAlignment="0" applyProtection="0">
      <alignment vertical="center"/>
    </xf>
    <xf numFmtId="0" fontId="54" fillId="7" borderId="42" applyNumberFormat="0" applyAlignment="0" applyProtection="0">
      <alignment vertical="center"/>
    </xf>
    <xf numFmtId="0" fontId="55" fillId="11" borderId="0" applyNumberFormat="0" applyBorder="0" applyAlignment="0" applyProtection="0"/>
    <xf numFmtId="0" fontId="59" fillId="9" borderId="4" applyNumberFormat="0" applyBorder="0" applyAlignment="0" applyProtection="0">
      <alignment vertical="center"/>
    </xf>
    <xf numFmtId="0" fontId="59" fillId="9" borderId="4" applyNumberFormat="0" applyBorder="0" applyAlignment="0" applyProtection="0"/>
    <xf numFmtId="0" fontId="58" fillId="10" borderId="45"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1" fontId="9" fillId="0" borderId="4">
      <alignment vertical="center"/>
      <protection locked="0"/>
    </xf>
    <xf numFmtId="0" fontId="54" fillId="7"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62" fillId="10" borderId="42" applyNumberFormat="0" applyAlignment="0" applyProtection="0">
      <alignment vertical="center"/>
    </xf>
    <xf numFmtId="0" fontId="60" fillId="7" borderId="42" applyNumberFormat="0" applyAlignment="0" applyProtection="0">
      <alignment vertical="center"/>
    </xf>
    <xf numFmtId="0" fontId="55" fillId="11" borderId="0" applyNumberFormat="0" applyBorder="0" applyAlignment="0" applyProtection="0"/>
    <xf numFmtId="0" fontId="65" fillId="10" borderId="45"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4" fillId="7" borderId="42" applyNumberFormat="0" applyAlignment="0" applyProtection="0">
      <alignment vertical="center"/>
    </xf>
    <xf numFmtId="0" fontId="65" fillId="10" borderId="45"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5" fillId="11" borderId="0" applyNumberFormat="0" applyBorder="0" applyAlignment="0" applyProtection="0"/>
    <xf numFmtId="0" fontId="56" fillId="10" borderId="42" applyNumberFormat="0" applyAlignment="0" applyProtection="0">
      <alignment vertical="center"/>
    </xf>
    <xf numFmtId="0" fontId="62" fillId="10" borderId="42" applyNumberFormat="0" applyAlignment="0" applyProtection="0">
      <alignment vertical="center"/>
    </xf>
    <xf numFmtId="0" fontId="60"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5" fillId="11" borderId="0" applyNumberFormat="0" applyBorder="0" applyAlignment="0" applyProtection="0"/>
    <xf numFmtId="0" fontId="72" fillId="0" borderId="47">
      <alignment horizontal="center"/>
    </xf>
    <xf numFmtId="0" fontId="56" fillId="10"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84" fillId="15" borderId="0" applyNumberFormat="0" applyBorder="0" applyAlignment="0" applyProtection="0"/>
    <xf numFmtId="0" fontId="56" fillId="10" borderId="42" applyNumberFormat="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5" fillId="11" borderId="0" applyNumberFormat="0" applyBorder="0" applyAlignment="0" applyProtection="0"/>
    <xf numFmtId="0" fontId="59" fillId="9" borderId="4" applyNumberFormat="0" applyBorder="0" applyAlignment="0" applyProtection="0"/>
    <xf numFmtId="0" fontId="68" fillId="15" borderId="0" applyNumberFormat="0" applyBorder="0" applyAlignment="0" applyProtection="0">
      <alignment vertical="center"/>
    </xf>
    <xf numFmtId="0" fontId="57" fillId="0" borderId="44" applyNumberFormat="0" applyFill="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64" fillId="0" borderId="46" applyProtection="0"/>
    <xf numFmtId="0" fontId="64" fillId="0" borderId="46" applyProtection="0"/>
    <xf numFmtId="0" fontId="56" fillId="10" borderId="42" applyNumberFormat="0" applyAlignment="0" applyProtection="0">
      <alignment vertical="center"/>
    </xf>
    <xf numFmtId="0" fontId="84" fillId="15" borderId="0" applyNumberFormat="0" applyBorder="0" applyAlignment="0" applyProtection="0"/>
    <xf numFmtId="0" fontId="51" fillId="9" borderId="43" applyNumberFormat="0" applyFon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5" fillId="11" borderId="0" applyNumberFormat="0" applyBorder="0" applyAlignment="0" applyProtection="0"/>
    <xf numFmtId="0" fontId="64" fillId="0" borderId="46" applyProtection="0"/>
    <xf numFmtId="0" fontId="68" fillId="15" borderId="0" applyNumberFormat="0" applyBorder="0" applyAlignment="0" applyProtection="0">
      <alignment vertical="center"/>
    </xf>
    <xf numFmtId="0" fontId="57" fillId="0" borderId="44" applyNumberFormat="0" applyFill="0" applyAlignment="0" applyProtection="0">
      <alignment vertical="center"/>
    </xf>
    <xf numFmtId="43" fontId="10" fillId="0" borderId="0" applyFont="0" applyFill="0" applyBorder="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64" fillId="0" borderId="46" applyProtection="0"/>
    <xf numFmtId="0" fontId="56" fillId="10" borderId="42" applyNumberFormat="0" applyAlignment="0" applyProtection="0">
      <alignment vertical="center"/>
    </xf>
    <xf numFmtId="0" fontId="54" fillId="7" borderId="42" applyNumberFormat="0" applyAlignment="0" applyProtection="0">
      <alignment vertical="center"/>
    </xf>
    <xf numFmtId="0" fontId="67" fillId="0" borderId="7">
      <alignment horizontal="lef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5" fillId="11" borderId="0" applyNumberFormat="0" applyBorder="0" applyAlignment="0" applyProtection="0"/>
    <xf numFmtId="0" fontId="57" fillId="0" borderId="44" applyNumberFormat="0" applyFill="0" applyAlignment="0" applyProtection="0">
      <alignment vertical="center"/>
    </xf>
    <xf numFmtId="0" fontId="62" fillId="10" borderId="42"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5" fillId="11" borderId="0" applyNumberFormat="0" applyBorder="0" applyAlignment="0" applyProtection="0"/>
    <xf numFmtId="0" fontId="54" fillId="7"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1" fillId="0" borderId="0"/>
    <xf numFmtId="0" fontId="62" fillId="10" borderId="42" applyNumberFormat="0" applyAlignment="0" applyProtection="0">
      <alignment vertical="center"/>
    </xf>
    <xf numFmtId="0" fontId="54" fillId="7" borderId="42" applyNumberFormat="0" applyAlignment="0" applyProtection="0">
      <alignment vertical="center"/>
    </xf>
    <xf numFmtId="0" fontId="55" fillId="11" borderId="0"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4" fillId="7" borderId="42" applyNumberFormat="0" applyAlignment="0" applyProtection="0">
      <alignment vertical="center"/>
    </xf>
    <xf numFmtId="0" fontId="55" fillId="11" borderId="0" applyNumberFormat="0" applyBorder="0" applyAlignment="0" applyProtection="0"/>
    <xf numFmtId="0" fontId="51" fillId="9" borderId="43" applyNumberFormat="0" applyFont="0" applyAlignment="0" applyProtection="0">
      <alignment vertical="center"/>
    </xf>
    <xf numFmtId="0" fontId="66" fillId="16" borderId="0" applyNumberFormat="0" applyBorder="0" applyAlignment="0" applyProtection="0">
      <alignment vertical="center"/>
    </xf>
    <xf numFmtId="0" fontId="56" fillId="10" borderId="42" applyNumberFormat="0" applyAlignment="0" applyProtection="0">
      <alignment vertical="center"/>
    </xf>
    <xf numFmtId="0" fontId="28" fillId="21" borderId="0" applyNumberFormat="0" applyBorder="0" applyAlignment="0" applyProtection="0"/>
    <xf numFmtId="0" fontId="67" fillId="0" borderId="7">
      <alignment horizontal="left" vertical="center"/>
    </xf>
    <xf numFmtId="0" fontId="55" fillId="18" borderId="0" applyNumberFormat="0" applyBorder="0" applyAlignment="0" applyProtection="0"/>
    <xf numFmtId="0" fontId="64" fillId="0" borderId="46" applyProtection="0"/>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5" fillId="18" borderId="0" applyNumberFormat="0" applyBorder="0" applyAlignment="0" applyProtection="0"/>
    <xf numFmtId="0" fontId="63" fillId="0" borderId="44" applyNumberFormat="0" applyFill="0" applyAlignment="0" applyProtection="0">
      <alignment vertical="center"/>
    </xf>
    <xf numFmtId="178" fontId="9" fillId="0" borderId="4">
      <alignment vertical="center"/>
      <protection locked="0"/>
    </xf>
    <xf numFmtId="0" fontId="56" fillId="10" borderId="42" applyNumberFormat="0" applyAlignment="0" applyProtection="0">
      <alignment vertical="center"/>
    </xf>
    <xf numFmtId="0" fontId="55" fillId="18" borderId="0" applyNumberFormat="0" applyBorder="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43" fontId="97" fillId="0" borderId="0" applyFont="0" applyFill="0" applyBorder="0" applyAlignment="0" applyProtection="0"/>
    <xf numFmtId="0" fontId="55" fillId="5" borderId="0" applyNumberFormat="0" applyBorder="0" applyAlignment="0" applyProtection="0"/>
    <xf numFmtId="0" fontId="64" fillId="0" borderId="46" applyProtection="0"/>
    <xf numFmtId="0" fontId="64" fillId="0" borderId="46" applyProtection="0"/>
    <xf numFmtId="0" fontId="56" fillId="10" borderId="42" applyNumberFormat="0" applyAlignment="0" applyProtection="0">
      <alignment vertical="center"/>
    </xf>
    <xf numFmtId="43" fontId="97" fillId="0" borderId="0" applyFont="0" applyFill="0" applyBorder="0" applyAlignment="0" applyProtection="0"/>
    <xf numFmtId="0" fontId="55" fillId="5" borderId="0" applyNumberFormat="0" applyBorder="0" applyAlignment="0" applyProtection="0"/>
    <xf numFmtId="0" fontId="56" fillId="10" borderId="42" applyNumberFormat="0" applyAlignment="0" applyProtection="0">
      <alignment vertical="center"/>
    </xf>
    <xf numFmtId="0" fontId="55" fillId="5" borderId="0" applyNumberFormat="0" applyBorder="0" applyAlignment="0" applyProtection="0"/>
    <xf numFmtId="0" fontId="58" fillId="10" borderId="45" applyNumberFormat="0" applyAlignment="0" applyProtection="0">
      <alignment vertical="center"/>
    </xf>
    <xf numFmtId="0" fontId="60" fillId="7"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68" fillId="15" borderId="0" applyNumberFormat="0" applyBorder="0" applyAlignment="0" applyProtection="0">
      <alignment vertical="center"/>
    </xf>
    <xf numFmtId="2" fontId="64" fillId="0" borderId="0" applyProtection="0"/>
    <xf numFmtId="0" fontId="56" fillId="10" borderId="42" applyNumberFormat="0" applyAlignment="0" applyProtection="0">
      <alignment vertical="center"/>
    </xf>
    <xf numFmtId="0" fontId="55" fillId="5" borderId="0" applyNumberFormat="0" applyBorder="0" applyAlignment="0" applyProtection="0"/>
    <xf numFmtId="0" fontId="54" fillId="7" borderId="42" applyNumberForma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4" fillId="7" borderId="42" applyNumberFormat="0" applyAlignment="0" applyProtection="0">
      <alignment vertical="center"/>
    </xf>
    <xf numFmtId="0" fontId="54" fillId="7" borderId="42" applyNumberFormat="0" applyAlignment="0" applyProtection="0">
      <alignment vertical="center"/>
    </xf>
    <xf numFmtId="2" fontId="64" fillId="0" borderId="0" applyProtection="0">
      <alignment vertical="center"/>
    </xf>
    <xf numFmtId="0" fontId="55" fillId="5" borderId="0" applyNumberFormat="0" applyBorder="0" applyAlignment="0" applyProtection="0"/>
    <xf numFmtId="0" fontId="68" fillId="15" borderId="0" applyNumberFormat="0" applyBorder="0" applyAlignment="0" applyProtection="0">
      <alignment vertical="center"/>
    </xf>
    <xf numFmtId="0" fontId="89" fillId="24" borderId="0" applyNumberFormat="0" applyBorder="0" applyAlignment="0" applyProtection="0">
      <alignment vertical="center"/>
    </xf>
    <xf numFmtId="0" fontId="56" fillId="10" borderId="42" applyNumberFormat="0" applyAlignment="0" applyProtection="0">
      <alignment vertical="center"/>
    </xf>
    <xf numFmtId="0" fontId="55" fillId="5" borderId="0" applyNumberFormat="0" applyBorder="0" applyAlignment="0" applyProtection="0"/>
    <xf numFmtId="0" fontId="55" fillId="5" borderId="0" applyNumberFormat="0" applyBorder="0" applyAlignment="0" applyProtection="0">
      <alignment vertical="center"/>
    </xf>
    <xf numFmtId="0" fontId="65" fillId="10" borderId="45"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8" fillId="10" borderId="45" applyNumberFormat="0" applyAlignment="0" applyProtection="0">
      <alignment vertical="center"/>
    </xf>
    <xf numFmtId="0" fontId="58" fillId="10" borderId="45" applyNumberFormat="0" applyAlignment="0" applyProtection="0">
      <alignment vertical="center"/>
    </xf>
    <xf numFmtId="0" fontId="60" fillId="7" borderId="42" applyNumberFormat="0" applyAlignment="0" applyProtection="0">
      <alignment vertical="center"/>
    </xf>
    <xf numFmtId="0" fontId="54" fillId="7" borderId="42" applyNumberFormat="0" applyAlignment="0" applyProtection="0">
      <alignment vertical="center"/>
    </xf>
    <xf numFmtId="0" fontId="55" fillId="5" borderId="0" applyNumberFormat="0" applyBorder="0" applyAlignment="0" applyProtection="0"/>
    <xf numFmtId="0" fontId="65" fillId="10" borderId="45" applyNumberFormat="0" applyAlignment="0" applyProtection="0">
      <alignment vertical="center"/>
    </xf>
    <xf numFmtId="0" fontId="55" fillId="5" borderId="0" applyNumberFormat="0" applyBorder="0" applyAlignment="0" applyProtection="0"/>
    <xf numFmtId="0" fontId="65" fillId="10" borderId="45"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60" fillId="7" borderId="42" applyNumberFormat="0" applyAlignment="0" applyProtection="0">
      <alignment vertical="center"/>
    </xf>
    <xf numFmtId="0" fontId="55" fillId="5" borderId="0" applyNumberFormat="0" applyBorder="0" applyAlignment="0" applyProtection="0"/>
    <xf numFmtId="0" fontId="54" fillId="7" borderId="42" applyNumberFormat="0" applyAlignment="0" applyProtection="0">
      <alignment vertical="center"/>
    </xf>
    <xf numFmtId="0" fontId="54" fillId="7" borderId="42" applyNumberFormat="0" applyAlignment="0" applyProtection="0">
      <alignment vertical="center"/>
    </xf>
    <xf numFmtId="0" fontId="65" fillId="10" borderId="45" applyNumberFormat="0" applyAlignment="0" applyProtection="0">
      <alignment vertical="center"/>
    </xf>
    <xf numFmtId="0" fontId="55" fillId="5" borderId="0" applyNumberFormat="0" applyBorder="0" applyAlignment="0" applyProtection="0"/>
    <xf numFmtId="0" fontId="65" fillId="10" borderId="45" applyNumberFormat="0" applyAlignment="0" applyProtection="0">
      <alignment vertical="center"/>
    </xf>
    <xf numFmtId="0" fontId="55" fillId="5" borderId="0" applyNumberFormat="0" applyBorder="0" applyAlignment="0" applyProtection="0"/>
    <xf numFmtId="0" fontId="59" fillId="9" borderId="4" applyNumberFormat="0" applyBorder="0" applyAlignment="0" applyProtection="0"/>
    <xf numFmtId="0" fontId="54" fillId="7" borderId="42" applyNumberFormat="0" applyAlignment="0" applyProtection="0">
      <alignment vertical="center"/>
    </xf>
    <xf numFmtId="0" fontId="54" fillId="7" borderId="42" applyNumberFormat="0" applyAlignment="0" applyProtection="0">
      <alignment vertical="center"/>
    </xf>
    <xf numFmtId="0" fontId="65" fillId="10" borderId="45" applyNumberFormat="0" applyAlignment="0" applyProtection="0">
      <alignment vertical="center"/>
    </xf>
    <xf numFmtId="0" fontId="54" fillId="7" borderId="42" applyNumberFormat="0" applyAlignment="0" applyProtection="0">
      <alignment vertical="center"/>
    </xf>
    <xf numFmtId="0" fontId="55" fillId="5" borderId="0" applyNumberFormat="0" applyBorder="0" applyAlignment="0" applyProtection="0"/>
    <xf numFmtId="0" fontId="55" fillId="5" borderId="0" applyNumberFormat="0" applyBorder="0" applyAlignment="0" applyProtection="0"/>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61" fillId="12" borderId="0" applyNumberFormat="0" applyBorder="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63" fillId="0" borderId="44" applyNumberFormat="0" applyFill="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62" fillId="10" borderId="42" applyNumberFormat="0" applyAlignment="0" applyProtection="0">
      <alignment vertical="center"/>
    </xf>
    <xf numFmtId="0" fontId="60" fillId="7" borderId="42" applyNumberFormat="0" applyAlignment="0" applyProtection="0">
      <alignment vertical="center"/>
    </xf>
    <xf numFmtId="0" fontId="56" fillId="10" borderId="42" applyNumberFormat="0" applyAlignment="0" applyProtection="0">
      <alignment vertical="center"/>
    </xf>
    <xf numFmtId="0" fontId="55" fillId="5" borderId="0" applyNumberFormat="0" applyBorder="0" applyAlignment="0" applyProtection="0"/>
    <xf numFmtId="0" fontId="65" fillId="10" borderId="45"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62" fillId="10" borderId="42" applyNumberFormat="0" applyAlignment="0" applyProtection="0">
      <alignment vertical="center"/>
    </xf>
    <xf numFmtId="0" fontId="56" fillId="10" borderId="42" applyNumberFormat="0" applyAlignment="0" applyProtection="0">
      <alignment vertical="center"/>
    </xf>
    <xf numFmtId="0" fontId="60" fillId="7" borderId="42" applyNumberFormat="0" applyAlignment="0" applyProtection="0">
      <alignment vertical="center"/>
    </xf>
    <xf numFmtId="0" fontId="56" fillId="10" borderId="42" applyNumberFormat="0" applyAlignment="0" applyProtection="0">
      <alignment vertical="center"/>
    </xf>
    <xf numFmtId="1" fontId="9" fillId="0" borderId="4">
      <alignment vertical="center"/>
      <protection locked="0"/>
    </xf>
    <xf numFmtId="0" fontId="54" fillId="7" borderId="42" applyNumberFormat="0" applyAlignment="0" applyProtection="0">
      <alignment vertical="center"/>
    </xf>
    <xf numFmtId="0" fontId="56" fillId="10" borderId="42" applyNumberFormat="0" applyAlignment="0" applyProtection="0">
      <alignment vertical="center"/>
    </xf>
    <xf numFmtId="0" fontId="55" fillId="5" borderId="0" applyNumberFormat="0" applyBorder="0" applyAlignment="0" applyProtection="0"/>
    <xf numFmtId="0" fontId="56" fillId="10" borderId="42" applyNumberFormat="0" applyAlignment="0" applyProtection="0">
      <alignment vertical="center"/>
    </xf>
    <xf numFmtId="0" fontId="62" fillId="10" borderId="42" applyNumberFormat="0" applyAlignment="0" applyProtection="0">
      <alignment vertical="center"/>
    </xf>
    <xf numFmtId="0" fontId="56" fillId="10" borderId="42" applyNumberFormat="0" applyAlignment="0" applyProtection="0">
      <alignment vertical="center"/>
    </xf>
    <xf numFmtId="1" fontId="9" fillId="0" borderId="4">
      <alignment vertical="center"/>
      <protection locked="0"/>
    </xf>
    <xf numFmtId="0" fontId="54" fillId="7" borderId="42" applyNumberFormat="0" applyAlignment="0" applyProtection="0">
      <alignment vertical="center"/>
    </xf>
    <xf numFmtId="0" fontId="56" fillId="10" borderId="42" applyNumberFormat="0" applyAlignment="0" applyProtection="0">
      <alignment vertical="center"/>
    </xf>
    <xf numFmtId="0" fontId="55" fillId="5" borderId="0" applyNumberFormat="0" applyBorder="0" applyAlignment="0" applyProtection="0"/>
    <xf numFmtId="0" fontId="80" fillId="0" borderId="1" applyNumberFormat="0" applyFill="0" applyProtection="0">
      <alignment horizontal="center"/>
    </xf>
    <xf numFmtId="0" fontId="56" fillId="10" borderId="42" applyNumberFormat="0" applyAlignment="0" applyProtection="0">
      <alignment vertical="center"/>
    </xf>
    <xf numFmtId="0" fontId="56" fillId="10" borderId="42" applyNumberFormat="0" applyAlignment="0" applyProtection="0">
      <alignment vertical="center"/>
    </xf>
    <xf numFmtId="0" fontId="62" fillId="10" borderId="42" applyNumberFormat="0" applyAlignment="0" applyProtection="0">
      <alignment vertical="center"/>
    </xf>
    <xf numFmtId="0" fontId="60" fillId="7" borderId="42" applyNumberFormat="0" applyAlignment="0" applyProtection="0">
      <alignment vertical="center"/>
    </xf>
    <xf numFmtId="0" fontId="56" fillId="10" borderId="42" applyNumberFormat="0" applyAlignment="0" applyProtection="0">
      <alignment vertical="center"/>
    </xf>
    <xf numFmtId="0" fontId="55" fillId="5" borderId="0" applyNumberFormat="0" applyBorder="0" applyAlignment="0" applyProtection="0"/>
    <xf numFmtId="0" fontId="56" fillId="10" borderId="42" applyNumberFormat="0" applyAlignment="0" applyProtection="0">
      <alignment vertical="center"/>
    </xf>
    <xf numFmtId="0" fontId="55" fillId="5" borderId="0" applyNumberFormat="0" applyBorder="0" applyAlignment="0" applyProtection="0"/>
    <xf numFmtId="0" fontId="64" fillId="0" borderId="46" applyProtection="0"/>
    <xf numFmtId="0" fontId="86" fillId="19" borderId="0" applyNumberFormat="0" applyBorder="0" applyAlignment="0" applyProtection="0">
      <alignment vertical="center"/>
    </xf>
    <xf numFmtId="0" fontId="62"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67" fillId="0" borderId="7">
      <alignment horizontal="lef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4" fillId="7" borderId="42" applyNumberFormat="0" applyAlignment="0" applyProtection="0">
      <alignment vertical="center"/>
    </xf>
    <xf numFmtId="0" fontId="55" fillId="5" borderId="0" applyNumberFormat="0" applyBorder="0" applyAlignment="0" applyProtection="0"/>
    <xf numFmtId="0" fontId="55" fillId="5" borderId="0" applyNumberFormat="0" applyBorder="0" applyAlignment="0" applyProtection="0"/>
    <xf numFmtId="0" fontId="64" fillId="0" borderId="46" applyProtection="0"/>
    <xf numFmtId="0" fontId="59" fillId="9" borderId="4" applyNumberFormat="0" applyBorder="0" applyAlignment="0" applyProtection="0"/>
    <xf numFmtId="0" fontId="67" fillId="0" borderId="7">
      <alignment horizontal="left" vertical="center"/>
    </xf>
    <xf numFmtId="0" fontId="55" fillId="5" borderId="0" applyNumberFormat="0" applyBorder="0" applyAlignment="0" applyProtection="0"/>
    <xf numFmtId="0" fontId="56" fillId="10" borderId="42" applyNumberFormat="0" applyAlignment="0" applyProtection="0">
      <alignment vertical="center"/>
    </xf>
    <xf numFmtId="0" fontId="54" fillId="7" borderId="42" applyNumberFormat="0" applyAlignment="0" applyProtection="0">
      <alignment vertical="center"/>
    </xf>
    <xf numFmtId="0" fontId="59" fillId="9" borderId="4" applyNumberFormat="0" applyBorder="0" applyAlignment="0" applyProtection="0"/>
    <xf numFmtId="0" fontId="55" fillId="5" borderId="0" applyNumberFormat="0" applyBorder="0" applyAlignment="0" applyProtection="0"/>
    <xf numFmtId="0" fontId="64" fillId="0" borderId="46" applyProtection="0"/>
    <xf numFmtId="0" fontId="56" fillId="10"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8" fillId="10" borderId="45" applyNumberFormat="0" applyAlignment="0" applyProtection="0">
      <alignment vertical="center"/>
    </xf>
    <xf numFmtId="0" fontId="59" fillId="9" borderId="4" applyNumberFormat="0" applyBorder="0" applyAlignment="0" applyProtection="0"/>
    <xf numFmtId="0" fontId="55" fillId="5" borderId="0" applyNumberFormat="0" applyBorder="0" applyAlignment="0" applyProtection="0"/>
    <xf numFmtId="0" fontId="59" fillId="9" borderId="4" applyNumberFormat="0" applyBorder="0" applyAlignment="0" applyProtection="0"/>
    <xf numFmtId="0" fontId="55" fillId="5" borderId="0"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7" fillId="0" borderId="44" applyNumberFormat="0" applyFill="0" applyAlignment="0" applyProtection="0">
      <alignment vertical="center"/>
    </xf>
    <xf numFmtId="0" fontId="58" fillId="10" borderId="45" applyNumberFormat="0" applyAlignment="0" applyProtection="0">
      <alignment vertical="center"/>
    </xf>
    <xf numFmtId="0" fontId="55" fillId="5" borderId="0" applyNumberFormat="0" applyBorder="0" applyAlignment="0" applyProtection="0"/>
    <xf numFmtId="0" fontId="55" fillId="8" borderId="0" applyNumberFormat="0" applyBorder="0" applyAlignment="0" applyProtection="0"/>
    <xf numFmtId="0" fontId="56" fillId="10" borderId="42" applyNumberFormat="0" applyAlignment="0" applyProtection="0">
      <alignment vertical="center"/>
    </xf>
    <xf numFmtId="0" fontId="59" fillId="9" borderId="4" applyNumberFormat="0" applyBorder="0" applyAlignment="0" applyProtection="0"/>
    <xf numFmtId="0" fontId="60" fillId="7" borderId="42" applyNumberFormat="0" applyAlignment="0" applyProtection="0">
      <alignment vertical="center"/>
    </xf>
    <xf numFmtId="0" fontId="66" fillId="5" borderId="0" applyNumberFormat="0" applyBorder="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4" fillId="7" borderId="42" applyNumberFormat="0" applyAlignment="0" applyProtection="0">
      <alignment vertical="center"/>
    </xf>
    <xf numFmtId="0" fontId="59" fillId="9" borderId="4" applyNumberFormat="0" applyBorder="0" applyAlignment="0" applyProtection="0"/>
    <xf numFmtId="0" fontId="28" fillId="9" borderId="0" applyNumberFormat="0" applyBorder="0" applyAlignment="0" applyProtection="0"/>
    <xf numFmtId="0" fontId="58" fillId="10" borderId="45" applyNumberFormat="0" applyAlignment="0" applyProtection="0">
      <alignment vertical="center"/>
    </xf>
    <xf numFmtId="0" fontId="62" fillId="10" borderId="42" applyNumberFormat="0" applyAlignment="0" applyProtection="0">
      <alignment vertical="center"/>
    </xf>
    <xf numFmtId="0" fontId="56" fillId="10" borderId="42" applyNumberFormat="0" applyAlignment="0" applyProtection="0">
      <alignment vertical="center"/>
    </xf>
    <xf numFmtId="0" fontId="62" fillId="10" borderId="42" applyNumberFormat="0" applyAlignment="0" applyProtection="0">
      <alignment vertical="center"/>
    </xf>
    <xf numFmtId="0" fontId="28" fillId="7" borderId="0" applyNumberFormat="0" applyBorder="0" applyAlignment="0" applyProtection="0"/>
    <xf numFmtId="0" fontId="54" fillId="7" borderId="42" applyNumberFormat="0" applyAlignment="0" applyProtection="0">
      <alignment vertical="center"/>
    </xf>
    <xf numFmtId="0" fontId="28" fillId="7" borderId="0" applyNumberFormat="0" applyBorder="0" applyAlignment="0" applyProtection="0">
      <alignment vertical="center"/>
    </xf>
    <xf numFmtId="0" fontId="54" fillId="7" borderId="42" applyNumberFormat="0" applyAlignment="0" applyProtection="0">
      <alignment vertical="center"/>
    </xf>
    <xf numFmtId="0" fontId="57" fillId="0" borderId="44" applyNumberFormat="0" applyFill="0" applyAlignment="0" applyProtection="0">
      <alignment vertical="center"/>
    </xf>
    <xf numFmtId="0" fontId="58" fillId="10" borderId="45"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5" fillId="7" borderId="0" applyNumberFormat="0" applyBorder="0" applyAlignment="0" applyProtection="0"/>
    <xf numFmtId="0" fontId="59" fillId="9" borderId="4" applyNumberFormat="0" applyBorder="0" applyAlignment="0" applyProtection="0"/>
    <xf numFmtId="0" fontId="54" fillId="7" borderId="42" applyNumberFormat="0" applyAlignment="0" applyProtection="0">
      <alignment vertical="center"/>
    </xf>
    <xf numFmtId="0" fontId="55" fillId="8" borderId="0" applyNumberFormat="0" applyBorder="0" applyAlignment="0" applyProtection="0"/>
    <xf numFmtId="0" fontId="79" fillId="0" borderId="0">
      <alignment horizontal="center" vertical="center"/>
    </xf>
    <xf numFmtId="0" fontId="56" fillId="10" borderId="42" applyNumberFormat="0" applyAlignment="0" applyProtection="0">
      <alignment vertical="center"/>
    </xf>
    <xf numFmtId="0" fontId="55" fillId="8" borderId="0" applyNumberFormat="0" applyBorder="0" applyAlignment="0" applyProtection="0"/>
    <xf numFmtId="0" fontId="79" fillId="0" borderId="0">
      <alignment horizontal="center" vertical="center"/>
    </xf>
    <xf numFmtId="0" fontId="55" fillId="8" borderId="0" applyNumberFormat="0" applyBorder="0" applyAlignment="0" applyProtection="0"/>
    <xf numFmtId="0" fontId="79" fillId="0" borderId="0">
      <alignment horizontal="center" vertical="center"/>
    </xf>
    <xf numFmtId="0" fontId="59" fillId="9" borderId="4" applyNumberFormat="0" applyBorder="0" applyAlignment="0" applyProtection="0"/>
    <xf numFmtId="0" fontId="61" fillId="19" borderId="0" applyNumberFormat="0" applyBorder="0" applyAlignment="0" applyProtection="0">
      <alignment vertical="center"/>
    </xf>
    <xf numFmtId="0" fontId="55" fillId="8" borderId="0" applyNumberFormat="0" applyBorder="0" applyAlignment="0" applyProtection="0"/>
    <xf numFmtId="0" fontId="79" fillId="0" borderId="0">
      <alignment horizontal="center" vertical="center"/>
    </xf>
    <xf numFmtId="0" fontId="90" fillId="0" borderId="50" applyNumberFormat="0" applyFill="0" applyAlignment="0" applyProtection="0">
      <alignment vertical="center"/>
    </xf>
    <xf numFmtId="0" fontId="55" fillId="8" borderId="0" applyNumberFormat="0" applyBorder="0" applyAlignment="0" applyProtection="0"/>
    <xf numFmtId="0" fontId="79" fillId="0" borderId="0">
      <alignment horizontal="center" vertical="center"/>
    </xf>
    <xf numFmtId="0" fontId="91" fillId="0" borderId="0">
      <alignment horizontal="center" wrapText="1"/>
      <protection locked="0"/>
    </xf>
    <xf numFmtId="0" fontId="54" fillId="7" borderId="42" applyNumberFormat="0" applyAlignment="0" applyProtection="0">
      <alignment vertical="center"/>
    </xf>
    <xf numFmtId="0" fontId="61" fillId="12" borderId="0" applyNumberFormat="0" applyBorder="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67" fillId="0" borderId="7">
      <alignment horizontal="left" vertical="center"/>
    </xf>
    <xf numFmtId="0" fontId="55" fillId="8" borderId="0" applyNumberFormat="0" applyBorder="0" applyAlignment="0" applyProtection="0"/>
    <xf numFmtId="0" fontId="79" fillId="0" borderId="0">
      <alignment horizontal="center" vertical="center"/>
    </xf>
    <xf numFmtId="0" fontId="56" fillId="10" borderId="42" applyNumberFormat="0" applyAlignment="0" applyProtection="0">
      <alignment vertical="center"/>
    </xf>
    <xf numFmtId="0" fontId="91" fillId="0" borderId="0">
      <alignment horizontal="center" vertical="center" wrapText="1"/>
      <protection locked="0"/>
    </xf>
    <xf numFmtId="0" fontId="64" fillId="0" borderId="46" applyProtection="0"/>
    <xf numFmtId="0" fontId="55" fillId="8" borderId="0" applyNumberFormat="0" applyBorder="0" applyAlignment="0" applyProtection="0"/>
    <xf numFmtId="0" fontId="64" fillId="0" borderId="46" applyProtection="0"/>
    <xf numFmtId="0" fontId="54" fillId="7" borderId="42" applyNumberFormat="0" applyAlignment="0" applyProtection="0">
      <alignment vertical="center"/>
    </xf>
    <xf numFmtId="0" fontId="55" fillId="8" borderId="0" applyNumberFormat="0" applyBorder="0" applyAlignment="0" applyProtection="0"/>
    <xf numFmtId="0" fontId="79" fillId="0" borderId="0">
      <alignment horizontal="center" vertical="center"/>
    </xf>
    <xf numFmtId="0" fontId="55" fillId="8" borderId="0" applyNumberFormat="0" applyBorder="0" applyAlignment="0" applyProtection="0"/>
    <xf numFmtId="0" fontId="55" fillId="8" borderId="0" applyNumberFormat="0" applyBorder="0" applyAlignment="0" applyProtection="0"/>
    <xf numFmtId="0" fontId="79" fillId="0" borderId="0">
      <alignment horizontal="center" vertical="center"/>
    </xf>
    <xf numFmtId="0" fontId="56" fillId="10" borderId="42" applyNumberFormat="0" applyAlignment="0" applyProtection="0">
      <alignment vertical="center"/>
    </xf>
    <xf numFmtId="0" fontId="55" fillId="8" borderId="0" applyNumberFormat="0" applyBorder="0" applyAlignment="0" applyProtection="0"/>
    <xf numFmtId="0" fontId="55" fillId="8" borderId="0" applyNumberFormat="0" applyBorder="0" applyAlignment="0" applyProtection="0">
      <alignment vertical="center"/>
    </xf>
    <xf numFmtId="0" fontId="51" fillId="0" borderId="0">
      <alignment vertical="center"/>
    </xf>
    <xf numFmtId="0" fontId="65" fillId="10" borderId="45" applyNumberFormat="0" applyAlignment="0" applyProtection="0">
      <alignment vertical="center"/>
    </xf>
    <xf numFmtId="0" fontId="55" fillId="8" borderId="0" applyNumberFormat="0" applyBorder="0" applyAlignment="0" applyProtection="0"/>
    <xf numFmtId="0" fontId="65" fillId="10" borderId="45" applyNumberFormat="0" applyAlignment="0" applyProtection="0">
      <alignment vertical="center"/>
    </xf>
    <xf numFmtId="0" fontId="55" fillId="8" borderId="0" applyNumberFormat="0" applyBorder="0" applyAlignment="0" applyProtection="0"/>
    <xf numFmtId="0" fontId="65" fillId="10" borderId="45" applyNumberFormat="0" applyAlignment="0" applyProtection="0">
      <alignment vertical="center"/>
    </xf>
    <xf numFmtId="0" fontId="58" fillId="10" borderId="45" applyNumberFormat="0" applyAlignment="0" applyProtection="0">
      <alignment vertical="center"/>
    </xf>
    <xf numFmtId="0" fontId="55" fillId="8" borderId="0" applyNumberFormat="0" applyBorder="0" applyAlignment="0" applyProtection="0"/>
    <xf numFmtId="0" fontId="65" fillId="10" borderId="45" applyNumberFormat="0" applyAlignment="0" applyProtection="0">
      <alignment vertical="center"/>
    </xf>
    <xf numFmtId="0" fontId="55" fillId="8" borderId="0" applyNumberFormat="0" applyBorder="0" applyAlignment="0" applyProtection="0"/>
    <xf numFmtId="0" fontId="54" fillId="7" borderId="42" applyNumberFormat="0" applyAlignment="0" applyProtection="0">
      <alignment vertical="center"/>
    </xf>
    <xf numFmtId="0" fontId="55" fillId="8" borderId="0" applyNumberFormat="0" applyBorder="0" applyAlignment="0" applyProtection="0"/>
    <xf numFmtId="0" fontId="55" fillId="8" borderId="0" applyNumberFormat="0" applyBorder="0" applyAlignment="0" applyProtection="0"/>
    <xf numFmtId="0" fontId="56" fillId="10" borderId="42" applyNumberFormat="0" applyAlignment="0" applyProtection="0">
      <alignment vertical="center"/>
    </xf>
    <xf numFmtId="0" fontId="55" fillId="8" borderId="0" applyNumberFormat="0" applyBorder="0" applyAlignment="0" applyProtection="0"/>
    <xf numFmtId="0" fontId="66" fillId="31" borderId="0" applyNumberFormat="0" applyBorder="0" applyAlignment="0" applyProtection="0">
      <alignment vertical="center"/>
    </xf>
    <xf numFmtId="0" fontId="23" fillId="0" borderId="0">
      <alignment vertical="center"/>
    </xf>
    <xf numFmtId="0" fontId="56" fillId="10" borderId="42" applyNumberFormat="0" applyAlignment="0" applyProtection="0">
      <alignment vertical="center"/>
    </xf>
    <xf numFmtId="0" fontId="63" fillId="0" borderId="44" applyNumberFormat="0" applyFill="0" applyAlignment="0" applyProtection="0">
      <alignment vertical="center"/>
    </xf>
    <xf numFmtId="0" fontId="56" fillId="10" borderId="42" applyNumberFormat="0" applyAlignment="0" applyProtection="0">
      <alignment vertical="center"/>
    </xf>
    <xf numFmtId="0" fontId="61" fillId="12" borderId="0" applyNumberFormat="0" applyBorder="0" applyAlignment="0" applyProtection="0">
      <alignment vertical="center"/>
    </xf>
    <xf numFmtId="183" fontId="92" fillId="0" borderId="0" applyFill="0" applyBorder="0" applyAlignment="0"/>
    <xf numFmtId="0" fontId="54" fillId="7" borderId="42" applyNumberFormat="0" applyAlignment="0" applyProtection="0">
      <alignment vertical="center"/>
    </xf>
    <xf numFmtId="0" fontId="72" fillId="0" borderId="0" applyNumberFormat="0" applyFill="0" applyBorder="0" applyAlignment="0" applyProtection="0"/>
    <xf numFmtId="0" fontId="63" fillId="0" borderId="44" applyNumberFormat="0" applyFill="0" applyAlignment="0" applyProtection="0">
      <alignment vertical="center"/>
    </xf>
    <xf numFmtId="183" fontId="92" fillId="0" borderId="0" applyFill="0" applyBorder="0" applyAlignment="0">
      <alignment vertical="center"/>
    </xf>
    <xf numFmtId="0" fontId="54" fillId="7" borderId="42" applyNumberFormat="0" applyAlignment="0" applyProtection="0">
      <alignment vertical="center"/>
    </xf>
    <xf numFmtId="0" fontId="51" fillId="9" borderId="43" applyNumberFormat="0" applyFont="0" applyAlignment="0" applyProtection="0">
      <alignment vertical="center"/>
    </xf>
    <xf numFmtId="0" fontId="64" fillId="0" borderId="46" applyProtection="0"/>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1" fillId="9" borderId="43" applyNumberFormat="0" applyFon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62"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60" fillId="7"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60"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8" fillId="10" borderId="45"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63" fillId="0" borderId="44" applyNumberFormat="0" applyFill="0" applyAlignment="0" applyProtection="0">
      <alignment vertical="center"/>
    </xf>
    <xf numFmtId="0" fontId="63" fillId="0" borderId="44" applyNumberFormat="0" applyFill="0" applyAlignment="0" applyProtection="0">
      <alignment vertical="center"/>
    </xf>
    <xf numFmtId="0" fontId="54" fillId="7" borderId="42" applyNumberFormat="0" applyAlignment="0" applyProtection="0">
      <alignment vertical="center"/>
    </xf>
    <xf numFmtId="43" fontId="97" fillId="0" borderId="0" applyFont="0" applyFill="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7" fillId="0" borderId="44" applyNumberFormat="0" applyFill="0" applyAlignment="0" applyProtection="0">
      <alignment vertical="center"/>
    </xf>
    <xf numFmtId="0" fontId="54" fillId="7" borderId="42" applyNumberForma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61" fillId="12" borderId="0" applyNumberFormat="0" applyBorder="0" applyAlignment="0" applyProtection="0">
      <alignment vertical="center"/>
    </xf>
    <xf numFmtId="0" fontId="63" fillId="0" borderId="44" applyNumberFormat="0" applyFill="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1" fillId="9" borderId="43" applyNumberFormat="0" applyFon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61" fillId="12" borderId="0" applyNumberFormat="0" applyBorder="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8" fillId="10" borderId="45"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8" fillId="10" borderId="45"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1" fillId="9" borderId="43" applyNumberFormat="0" applyFont="0" applyAlignment="0" applyProtection="0">
      <alignment vertical="center"/>
    </xf>
    <xf numFmtId="0" fontId="58" fillId="10" borderId="45"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1" fillId="9" borderId="43" applyNumberFormat="0" applyFon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60" fillId="7" borderId="42" applyNumberFormat="0" applyAlignment="0" applyProtection="0">
      <alignment vertical="center"/>
    </xf>
    <xf numFmtId="0" fontId="56" fillId="10" borderId="42" applyNumberFormat="0" applyAlignment="0" applyProtection="0">
      <alignment vertical="center"/>
    </xf>
    <xf numFmtId="0" fontId="62"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63" fillId="0" borderId="44" applyNumberFormat="0" applyFill="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63" fillId="0" borderId="44" applyNumberFormat="0" applyFill="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7" fillId="0" borderId="44" applyNumberFormat="0" applyFill="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62" fillId="10" borderId="42" applyNumberFormat="0" applyAlignment="0" applyProtection="0">
      <alignment vertical="center"/>
    </xf>
    <xf numFmtId="0" fontId="56" fillId="10" borderId="42" applyNumberFormat="0" applyAlignment="0" applyProtection="0">
      <alignment vertical="center"/>
    </xf>
    <xf numFmtId="0" fontId="60"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1" fontId="9" fillId="0" borderId="4">
      <alignment vertical="center"/>
      <protection locked="0"/>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1" fontId="9" fillId="0" borderId="4">
      <alignment vertical="center"/>
      <protection locked="0"/>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7" fillId="0" borderId="44" applyNumberFormat="0" applyFill="0" applyAlignment="0" applyProtection="0">
      <alignment vertical="center"/>
    </xf>
    <xf numFmtId="0" fontId="58" fillId="10" borderId="45" applyNumberFormat="0" applyAlignment="0" applyProtection="0">
      <alignment vertical="center"/>
    </xf>
    <xf numFmtId="43" fontId="97" fillId="0" borderId="0" applyFont="0" applyFill="0" applyBorder="0" applyAlignment="0" applyProtection="0"/>
    <xf numFmtId="0" fontId="56" fillId="10" borderId="42" applyNumberFormat="0" applyAlignment="0" applyProtection="0">
      <alignment vertical="center"/>
    </xf>
    <xf numFmtId="0" fontId="85" fillId="0" borderId="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7" fillId="0" borderId="44" applyNumberFormat="0" applyFill="0" applyAlignment="0" applyProtection="0">
      <alignment vertical="center"/>
    </xf>
    <xf numFmtId="0" fontId="58" fillId="10" borderId="45" applyNumberFormat="0" applyAlignment="0" applyProtection="0">
      <alignment vertical="center"/>
    </xf>
    <xf numFmtId="1" fontId="9" fillId="0" borderId="4">
      <alignment vertical="center"/>
      <protection locked="0"/>
    </xf>
    <xf numFmtId="43" fontId="97" fillId="0" borderId="0" applyFont="0" applyFill="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79" fillId="0" borderId="0">
      <alignment horizontal="center" vertical="center"/>
    </xf>
    <xf numFmtId="0" fontId="65" fillId="10" borderId="45" applyNumberFormat="0" applyAlignment="0" applyProtection="0">
      <alignment vertical="center"/>
    </xf>
    <xf numFmtId="0" fontId="67" fillId="0" borderId="51" applyNumberFormat="0" applyAlignment="0" applyProtection="0">
      <alignment horizontal="left" vertical="center"/>
    </xf>
    <xf numFmtId="0" fontId="56" fillId="10" borderId="42" applyNumberFormat="0" applyAlignment="0" applyProtection="0">
      <alignment vertical="center"/>
    </xf>
    <xf numFmtId="0" fontId="65" fillId="10" borderId="45" applyNumberFormat="0" applyAlignment="0" applyProtection="0">
      <alignment vertical="center"/>
    </xf>
    <xf numFmtId="0" fontId="56" fillId="10" borderId="42" applyNumberFormat="0" applyAlignment="0" applyProtection="0">
      <alignment vertical="center"/>
    </xf>
    <xf numFmtId="0" fontId="57" fillId="0" borderId="44" applyNumberFormat="0" applyFill="0" applyAlignment="0" applyProtection="0">
      <alignment vertical="center"/>
    </xf>
    <xf numFmtId="0" fontId="58" fillId="10" borderId="45" applyNumberFormat="0" applyAlignment="0" applyProtection="0">
      <alignment vertical="center"/>
    </xf>
    <xf numFmtId="0" fontId="67" fillId="0" borderId="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79" fillId="0" borderId="0">
      <alignment horizontal="center" vertical="center"/>
    </xf>
    <xf numFmtId="0" fontId="65" fillId="10" borderId="45" applyNumberFormat="0" applyAlignment="0" applyProtection="0">
      <alignment vertical="center"/>
    </xf>
    <xf numFmtId="0" fontId="67" fillId="0" borderId="7">
      <alignment horizontal="left" vertical="center"/>
    </xf>
    <xf numFmtId="0" fontId="65" fillId="10" borderId="45" applyNumberFormat="0" applyAlignment="0" applyProtection="0">
      <alignment vertical="center"/>
    </xf>
    <xf numFmtId="0" fontId="56" fillId="10" borderId="42" applyNumberFormat="0" applyAlignment="0" applyProtection="0">
      <alignment vertical="center"/>
    </xf>
    <xf numFmtId="0" fontId="57" fillId="0" borderId="44" applyNumberFormat="0" applyFill="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65" fillId="10" borderId="45"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63" fillId="0" borderId="44" applyNumberFormat="0" applyFill="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80" fillId="0" borderId="1" applyNumberFormat="0" applyFill="0" applyProtection="0">
      <alignment horizontal="center"/>
    </xf>
    <xf numFmtId="0" fontId="56" fillId="10" borderId="42" applyNumberFormat="0" applyAlignment="0" applyProtection="0">
      <alignment vertical="center"/>
    </xf>
    <xf numFmtId="0" fontId="80" fillId="0" borderId="1" applyNumberFormat="0" applyFill="0" applyProtection="0">
      <alignment horizont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63" fillId="0" borderId="44" applyNumberFormat="0" applyFill="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80" fillId="0" borderId="1" applyNumberFormat="0" applyFill="0" applyProtection="0">
      <alignment horizontal="center"/>
    </xf>
    <xf numFmtId="0" fontId="56" fillId="10" borderId="42" applyNumberFormat="0" applyAlignment="0" applyProtection="0">
      <alignment vertical="center"/>
    </xf>
    <xf numFmtId="0" fontId="80" fillId="0" borderId="1" applyNumberFormat="0" applyFill="0" applyProtection="0">
      <alignment horizont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64" fillId="0" borderId="46"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4" fillId="7" borderId="42" applyNumberFormat="0" applyAlignment="0" applyProtection="0">
      <alignment vertical="center"/>
    </xf>
    <xf numFmtId="0" fontId="97" fillId="0" borderId="2" applyNumberFormat="0" applyFill="0" applyProtection="0">
      <alignment horizontal="right"/>
    </xf>
    <xf numFmtId="0" fontId="60" fillId="7" borderId="42" applyNumberFormat="0" applyAlignment="0" applyProtection="0">
      <alignment vertical="center"/>
    </xf>
    <xf numFmtId="0" fontId="56" fillId="10" borderId="42" applyNumberFormat="0" applyAlignment="0" applyProtection="0">
      <alignment vertical="center"/>
    </xf>
    <xf numFmtId="0" fontId="97" fillId="0" borderId="2" applyNumberFormat="0" applyFill="0" applyProtection="0">
      <alignment horizontal="right"/>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62"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81" fillId="12" borderId="0" applyNumberFormat="0" applyBorder="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1" fillId="9" borderId="43" applyNumberFormat="0" applyFont="0" applyAlignment="0" applyProtection="0">
      <alignment vertical="center"/>
    </xf>
    <xf numFmtId="0" fontId="54" fillId="7" borderId="42" applyNumberFormat="0" applyAlignment="0" applyProtection="0">
      <alignment vertical="center"/>
    </xf>
    <xf numFmtId="0" fontId="60" fillId="7"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8" fillId="10" borderId="45" applyNumberForma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1" fillId="9" borderId="43" applyNumberFormat="0" applyFon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1" fillId="9" borderId="43" applyNumberFormat="0" applyFont="0" applyAlignment="0" applyProtection="0">
      <alignment vertical="center"/>
    </xf>
    <xf numFmtId="0" fontId="58" fillId="10" borderId="45" applyNumberForma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1" fillId="9" borderId="43" applyNumberFormat="0" applyFon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68" fillId="15" borderId="0" applyNumberFormat="0" applyBorder="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1" fillId="9" borderId="43" applyNumberFormat="0" applyFont="0" applyAlignment="0" applyProtection="0">
      <alignment vertical="center"/>
    </xf>
    <xf numFmtId="0" fontId="59" fillId="9" borderId="4" applyNumberFormat="0" applyBorder="0" applyAlignment="0" applyProtection="0"/>
    <xf numFmtId="0" fontId="67" fillId="0" borderId="7">
      <alignment horizontal="left" vertical="center"/>
    </xf>
    <xf numFmtId="0" fontId="64" fillId="0" borderId="46" applyProtection="0"/>
    <xf numFmtId="0" fontId="51" fillId="9" borderId="43" applyNumberFormat="0" applyFon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62" fillId="10" borderId="42" applyNumberFormat="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62" fillId="10" borderId="42" applyNumberFormat="0" applyAlignment="0" applyProtection="0">
      <alignment vertical="center"/>
    </xf>
    <xf numFmtId="1" fontId="9" fillId="0" borderId="4">
      <alignment vertical="center"/>
      <protection locked="0"/>
    </xf>
    <xf numFmtId="0" fontId="54" fillId="7" borderId="42" applyNumberFormat="0" applyAlignment="0" applyProtection="0">
      <alignment vertical="center"/>
    </xf>
    <xf numFmtId="0" fontId="54" fillId="7" borderId="42" applyNumberFormat="0" applyAlignment="0" applyProtection="0">
      <alignment vertical="center"/>
    </xf>
    <xf numFmtId="0" fontId="51" fillId="9" borderId="43" applyNumberFormat="0" applyFont="0" applyAlignment="0" applyProtection="0">
      <alignment vertical="center"/>
    </xf>
    <xf numFmtId="178" fontId="9" fillId="0" borderId="4">
      <alignment vertical="center"/>
      <protection locked="0"/>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62" fillId="10"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1" fontId="9" fillId="0" borderId="4">
      <alignment vertical="center"/>
      <protection locked="0"/>
    </xf>
    <xf numFmtId="0" fontId="51" fillId="9" borderId="43" applyNumberFormat="0" applyFon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7" fillId="0" borderId="44" applyNumberFormat="0" applyFill="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84" fillId="15" borderId="0"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62" fillId="10" borderId="42" applyNumberFormat="0" applyAlignment="0" applyProtection="0">
      <alignment vertical="center"/>
    </xf>
    <xf numFmtId="1" fontId="9" fillId="0" borderId="4">
      <alignment vertical="center"/>
      <protection locked="0"/>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84" fillId="15" borderId="0" applyNumberFormat="0" applyBorder="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62" fillId="10" borderId="42" applyNumberFormat="0" applyAlignment="0" applyProtection="0">
      <alignment vertical="center"/>
    </xf>
    <xf numFmtId="1" fontId="9" fillId="0" borderId="4">
      <alignment vertical="center"/>
      <protection locked="0"/>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1" fontId="9" fillId="0" borderId="4">
      <alignment vertical="center"/>
      <protection locked="0"/>
    </xf>
    <xf numFmtId="0" fontId="56" fillId="10"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9" fillId="9" borderId="4" applyNumberFormat="0" applyBorder="0" applyAlignment="0" applyProtection="0"/>
    <xf numFmtId="0" fontId="60"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9" fontId="10" fillId="0" borderId="0" applyFont="0" applyFill="0" applyBorder="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8" fillId="10" borderId="45" applyNumberFormat="0" applyAlignment="0" applyProtection="0">
      <alignment vertical="center"/>
    </xf>
    <xf numFmtId="1" fontId="9" fillId="0" borderId="4">
      <alignment vertical="center"/>
      <protection locked="0"/>
    </xf>
    <xf numFmtId="0" fontId="56" fillId="10" borderId="42" applyNumberFormat="0" applyAlignment="0" applyProtection="0">
      <alignment vertical="center"/>
    </xf>
    <xf numFmtId="0" fontId="59" fillId="9" borderId="4" applyNumberFormat="0" applyBorder="0" applyAlignment="0" applyProtection="0"/>
    <xf numFmtId="0" fontId="54" fillId="7" borderId="42" applyNumberFormat="0" applyAlignment="0" applyProtection="0">
      <alignment vertical="center"/>
    </xf>
    <xf numFmtId="0" fontId="51" fillId="9" borderId="43" applyNumberFormat="0" applyFont="0" applyAlignment="0" applyProtection="0">
      <alignment vertical="center"/>
    </xf>
    <xf numFmtId="0" fontId="58" fillId="10" borderId="45" applyNumberFormat="0" applyAlignment="0" applyProtection="0">
      <alignment vertical="center"/>
    </xf>
    <xf numFmtId="1" fontId="9" fillId="0" borderId="4">
      <alignment vertical="center"/>
      <protection locked="0"/>
    </xf>
    <xf numFmtId="0" fontId="51" fillId="9" borderId="43" applyNumberFormat="0" applyFont="0" applyAlignment="0" applyProtection="0">
      <alignment vertical="center"/>
    </xf>
    <xf numFmtId="0" fontId="54" fillId="7" borderId="42" applyNumberFormat="0" applyAlignment="0" applyProtection="0">
      <alignment vertical="center"/>
    </xf>
    <xf numFmtId="0" fontId="60" fillId="7"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1" fillId="9" borderId="43" applyNumberFormat="0" applyFont="0" applyAlignment="0" applyProtection="0">
      <alignment vertical="center"/>
    </xf>
    <xf numFmtId="0" fontId="58" fillId="10" borderId="45" applyNumberFormat="0" applyAlignment="0" applyProtection="0">
      <alignment vertical="center"/>
    </xf>
    <xf numFmtId="0" fontId="58" fillId="10" borderId="45" applyNumberFormat="0" applyAlignment="0" applyProtection="0">
      <alignment vertical="center"/>
    </xf>
    <xf numFmtId="1" fontId="9" fillId="0" borderId="4">
      <alignment vertical="center"/>
      <protection locked="0"/>
    </xf>
    <xf numFmtId="0" fontId="59" fillId="9" borderId="4" applyNumberFormat="0" applyBorder="0" applyAlignment="0" applyProtection="0"/>
    <xf numFmtId="0" fontId="59" fillId="9" borderId="4" applyNumberFormat="0" applyBorder="0" applyAlignment="0" applyProtection="0"/>
    <xf numFmtId="0" fontId="56" fillId="10" borderId="42" applyNumberFormat="0" applyAlignment="0" applyProtection="0">
      <alignment vertical="center"/>
    </xf>
    <xf numFmtId="0" fontId="58" fillId="10" borderId="45" applyNumberFormat="0" applyAlignment="0" applyProtection="0">
      <alignment vertical="center"/>
    </xf>
    <xf numFmtId="0" fontId="67" fillId="0" borderId="7">
      <alignment horizontal="lef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65" fillId="10" borderId="45"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1" fillId="9" borderId="43" applyNumberFormat="0" applyFont="0" applyAlignment="0" applyProtection="0">
      <alignment vertical="center"/>
    </xf>
    <xf numFmtId="1" fontId="9" fillId="0" borderId="4">
      <alignment vertical="center"/>
      <protection locked="0"/>
    </xf>
    <xf numFmtId="0" fontId="67" fillId="0" borderId="7">
      <alignment horizontal="lef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65" fillId="10" borderId="45"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1" fontId="9" fillId="0" borderId="4">
      <alignment vertical="center"/>
      <protection locked="0"/>
    </xf>
    <xf numFmtId="0" fontId="54" fillId="7"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62" fillId="10" borderId="42" applyNumberFormat="0" applyAlignment="0" applyProtection="0">
      <alignment vertical="center"/>
    </xf>
    <xf numFmtId="1" fontId="9" fillId="0" borderId="4">
      <alignment vertical="center"/>
      <protection locked="0"/>
    </xf>
    <xf numFmtId="0" fontId="54" fillId="7" borderId="42" applyNumberFormat="0" applyAlignment="0" applyProtection="0">
      <alignment vertical="center"/>
    </xf>
    <xf numFmtId="0" fontId="56" fillId="10" borderId="42" applyNumberFormat="0" applyAlignment="0" applyProtection="0">
      <alignment vertical="center"/>
    </xf>
    <xf numFmtId="0" fontId="80" fillId="0" borderId="1" applyNumberFormat="0" applyFill="0" applyProtection="0">
      <alignment horizontal="center"/>
    </xf>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3" fillId="0" borderId="0"/>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64" fillId="0" borderId="46" applyProtection="0"/>
    <xf numFmtId="0" fontId="62" fillId="10" borderId="42" applyNumberFormat="0" applyAlignment="0" applyProtection="0">
      <alignment vertical="center"/>
    </xf>
    <xf numFmtId="1" fontId="9" fillId="0" borderId="4">
      <alignment vertical="center"/>
      <protection locked="0"/>
    </xf>
    <xf numFmtId="0" fontId="54" fillId="7"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8" fillId="10" borderId="45" applyNumberFormat="0" applyAlignment="0" applyProtection="0">
      <alignment vertical="center"/>
    </xf>
    <xf numFmtId="0" fontId="61" fillId="12" borderId="0" applyNumberFormat="0" applyBorder="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1" fontId="9" fillId="0" borderId="4">
      <alignment vertical="center"/>
      <protection locked="0"/>
    </xf>
    <xf numFmtId="0" fontId="54" fillId="7"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8" fillId="10" borderId="45"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60"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1" fillId="9" borderId="43" applyNumberFormat="0" applyFont="0" applyAlignment="0" applyProtection="0">
      <alignment vertical="center"/>
    </xf>
    <xf numFmtId="0" fontId="58" fillId="10" borderId="45" applyNumberFormat="0" applyAlignment="0" applyProtection="0">
      <alignment vertical="center"/>
    </xf>
    <xf numFmtId="1" fontId="9" fillId="0" borderId="4">
      <alignment vertical="center"/>
      <protection locked="0"/>
    </xf>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62" fillId="10"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4" fillId="7" borderId="42" applyNumberFormat="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62" fillId="10"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1" fillId="9" borderId="43" applyNumberFormat="0" applyFont="0" applyAlignment="0" applyProtection="0">
      <alignment vertical="center"/>
    </xf>
    <xf numFmtId="0" fontId="58" fillId="10" borderId="45" applyNumberFormat="0" applyAlignment="0" applyProtection="0">
      <alignment vertical="center"/>
    </xf>
    <xf numFmtId="0" fontId="58" fillId="10" borderId="45" applyNumberFormat="0" applyAlignment="0" applyProtection="0">
      <alignment vertical="center"/>
    </xf>
    <xf numFmtId="0" fontId="58" fillId="10" borderId="45" applyNumberFormat="0" applyAlignment="0" applyProtection="0">
      <alignment vertical="center"/>
    </xf>
    <xf numFmtId="0" fontId="51" fillId="9" borderId="43" applyNumberFormat="0" applyFont="0" applyAlignment="0" applyProtection="0">
      <alignment vertical="center"/>
    </xf>
    <xf numFmtId="0" fontId="54" fillId="7" borderId="42" applyNumberFormat="0" applyAlignment="0" applyProtection="0">
      <alignment vertical="center"/>
    </xf>
    <xf numFmtId="0" fontId="60"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65" fillId="10" borderId="45"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62" fillId="10" borderId="42" applyNumberFormat="0" applyAlignment="0" applyProtection="0">
      <alignment vertical="center"/>
    </xf>
    <xf numFmtId="1" fontId="9" fillId="0" borderId="4">
      <alignment vertical="center"/>
      <protection locked="0"/>
    </xf>
    <xf numFmtId="0" fontId="56" fillId="10" borderId="42" applyNumberFormat="0" applyAlignment="0" applyProtection="0">
      <alignment vertical="center"/>
    </xf>
    <xf numFmtId="0" fontId="59" fillId="9" borderId="4" applyNumberFormat="0" applyBorder="0" applyAlignment="0" applyProtection="0"/>
    <xf numFmtId="0" fontId="51" fillId="9" borderId="43" applyNumberFormat="0" applyFon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1" fillId="9" borderId="43" applyNumberFormat="0" applyFon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67" fillId="0" borderId="7">
      <alignment horizontal="lef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60" fillId="7" borderId="42" applyNumberFormat="0" applyAlignment="0" applyProtection="0">
      <alignment vertical="center"/>
    </xf>
    <xf numFmtId="179" fontId="93" fillId="0" borderId="0">
      <alignment vertical="center"/>
    </xf>
    <xf numFmtId="0" fontId="60" fillId="7" borderId="42" applyNumberFormat="0" applyAlignment="0" applyProtection="0">
      <alignment vertical="center"/>
    </xf>
    <xf numFmtId="0" fontId="60"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64" fillId="0" borderId="46" applyProtection="0"/>
    <xf numFmtId="0" fontId="60" fillId="7" borderId="42" applyNumberFormat="0" applyAlignment="0" applyProtection="0">
      <alignment vertical="center"/>
    </xf>
    <xf numFmtId="0" fontId="56" fillId="10" borderId="42" applyNumberFormat="0" applyAlignment="0" applyProtection="0">
      <alignment vertical="center"/>
    </xf>
    <xf numFmtId="0" fontId="61" fillId="12" borderId="0" applyNumberFormat="0" applyBorder="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63" fillId="0" borderId="44" applyNumberFormat="0" applyFill="0" applyAlignment="0" applyProtection="0">
      <alignment vertical="center"/>
    </xf>
    <xf numFmtId="0" fontId="56" fillId="10" borderId="42" applyNumberFormat="0" applyAlignment="0" applyProtection="0">
      <alignment vertical="center"/>
    </xf>
    <xf numFmtId="1" fontId="9" fillId="0" borderId="4">
      <alignment vertical="center"/>
      <protection locked="0"/>
    </xf>
    <xf numFmtId="1" fontId="9" fillId="0" borderId="4">
      <alignment vertical="center"/>
      <protection locked="0"/>
    </xf>
    <xf numFmtId="0" fontId="54" fillId="7"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9" fillId="9" borderId="4" applyNumberFormat="0" applyBorder="0" applyAlignment="0" applyProtection="0"/>
    <xf numFmtId="0" fontId="58" fillId="10" borderId="45"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9" fillId="9" borderId="4" applyNumberFormat="0" applyBorder="0" applyAlignment="0" applyProtection="0"/>
    <xf numFmtId="0" fontId="58" fillId="10" borderId="45"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9" fillId="9" borderId="4" applyNumberFormat="0" applyBorder="0" applyAlignment="0" applyProtection="0"/>
    <xf numFmtId="0" fontId="59" fillId="9" borderId="4" applyNumberFormat="0" applyBorder="0" applyAlignment="0" applyProtection="0"/>
    <xf numFmtId="0" fontId="56" fillId="10"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9" fillId="9" borderId="4" applyNumberFormat="0" applyBorder="0" applyAlignment="0" applyProtection="0"/>
    <xf numFmtId="0" fontId="54" fillId="7"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9" fillId="9" borderId="4"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8" fillId="10" borderId="45"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8" fillId="10" borderId="45"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9" fillId="9" borderId="4" applyNumberFormat="0" applyBorder="0" applyAlignment="0" applyProtection="0"/>
    <xf numFmtId="0" fontId="58" fillId="10" borderId="45" applyNumberFormat="0" applyAlignment="0" applyProtection="0">
      <alignment vertical="center"/>
    </xf>
    <xf numFmtId="0" fontId="67" fillId="0" borderId="7">
      <alignment horizontal="left" vertical="center"/>
    </xf>
    <xf numFmtId="0" fontId="59" fillId="9" borderId="4"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64" fillId="0" borderId="46" applyProtection="0"/>
    <xf numFmtId="0" fontId="56" fillId="10" borderId="42" applyNumberFormat="0" applyAlignment="0" applyProtection="0">
      <alignment vertical="center"/>
    </xf>
    <xf numFmtId="0" fontId="58" fillId="10" borderId="45" applyNumberFormat="0" applyAlignment="0" applyProtection="0">
      <alignment vertical="center"/>
    </xf>
    <xf numFmtId="1" fontId="9" fillId="0" borderId="4">
      <alignment vertical="center"/>
      <protection locked="0"/>
    </xf>
    <xf numFmtId="1" fontId="9" fillId="0" borderId="4">
      <alignment vertical="center"/>
      <protection locked="0"/>
    </xf>
    <xf numFmtId="0" fontId="56" fillId="10"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1" fillId="9" borderId="43" applyNumberFormat="0" applyFont="0" applyAlignment="0" applyProtection="0">
      <alignment vertical="center"/>
    </xf>
    <xf numFmtId="0" fontId="57" fillId="0" borderId="44" applyNumberFormat="0" applyFill="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60" fillId="7"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1" fillId="9" borderId="43" applyNumberFormat="0" applyFont="0" applyAlignment="0" applyProtection="0">
      <alignment vertical="center"/>
    </xf>
    <xf numFmtId="0" fontId="57" fillId="0" borderId="44" applyNumberFormat="0" applyFill="0" applyAlignment="0" applyProtection="0">
      <alignment vertical="center"/>
    </xf>
    <xf numFmtId="0" fontId="56" fillId="10" borderId="42" applyNumberFormat="0" applyAlignment="0" applyProtection="0">
      <alignment vertical="center"/>
    </xf>
    <xf numFmtId="0" fontId="64" fillId="0" borderId="46" applyProtection="0"/>
    <xf numFmtId="0" fontId="59" fillId="9" borderId="4"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65" fillId="10" borderId="45" applyNumberFormat="0" applyAlignment="0" applyProtection="0">
      <alignment vertical="center"/>
    </xf>
    <xf numFmtId="43" fontId="97" fillId="0" borderId="0" applyFont="0" applyFill="0" applyBorder="0" applyAlignment="0" applyProtection="0"/>
    <xf numFmtId="0" fontId="56" fillId="10" borderId="42" applyNumberFormat="0" applyAlignment="0" applyProtection="0">
      <alignment vertical="center"/>
    </xf>
    <xf numFmtId="0" fontId="10" fillId="0" borderId="0"/>
    <xf numFmtId="0" fontId="59" fillId="9" borderId="4"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63" fillId="0" borderId="44" applyNumberFormat="0" applyFill="0" applyAlignment="0" applyProtection="0">
      <alignment vertical="center"/>
    </xf>
    <xf numFmtId="0" fontId="65" fillId="10" borderId="45"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1" fillId="9" borderId="43" applyNumberFormat="0" applyFont="0" applyAlignment="0" applyProtection="0">
      <alignment vertical="center"/>
    </xf>
    <xf numFmtId="0" fontId="84" fillId="15" borderId="0" applyNumberFormat="0" applyBorder="0" applyAlignment="0" applyProtection="0"/>
    <xf numFmtId="0" fontId="54" fillId="7"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43" fontId="97" fillId="0" borderId="0" applyFont="0" applyFill="0" applyBorder="0" applyAlignment="0" applyProtection="0"/>
    <xf numFmtId="0" fontId="56" fillId="10" borderId="42" applyNumberFormat="0" applyAlignment="0" applyProtection="0">
      <alignment vertical="center"/>
    </xf>
    <xf numFmtId="0" fontId="94" fillId="0" borderId="0" applyNumberFormat="0" applyFill="0" applyBorder="0" applyAlignment="0" applyProtection="0">
      <alignment vertical="center"/>
    </xf>
    <xf numFmtId="0" fontId="56" fillId="10" borderId="42" applyNumberFormat="0" applyAlignment="0" applyProtection="0">
      <alignment vertical="center"/>
    </xf>
    <xf numFmtId="0" fontId="67" fillId="0" borderId="7">
      <alignment horizontal="left" vertical="center"/>
    </xf>
    <xf numFmtId="0" fontId="51" fillId="9" borderId="43" applyNumberFormat="0" applyFon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94" fillId="0" borderId="0" applyNumberFormat="0" applyFill="0" applyBorder="0" applyAlignment="0" applyProtection="0">
      <alignment vertical="center"/>
    </xf>
    <xf numFmtId="0" fontId="54" fillId="7" borderId="42" applyNumberFormat="0" applyAlignment="0" applyProtection="0">
      <alignment vertical="center"/>
    </xf>
    <xf numFmtId="43" fontId="97" fillId="0" borderId="0" applyFont="0" applyFill="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9" fillId="9" borderId="4" applyNumberFormat="0" applyBorder="0" applyAlignment="0" applyProtection="0"/>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60" fillId="7"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81" fillId="12" borderId="0" applyNumberFormat="0" applyBorder="0" applyAlignment="0" applyProtection="0">
      <alignment vertical="center"/>
    </xf>
    <xf numFmtId="0" fontId="60" fillId="7"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1" fillId="9" borderId="43" applyNumberFormat="0" applyFont="0" applyAlignment="0" applyProtection="0">
      <alignment vertical="center"/>
    </xf>
    <xf numFmtId="0" fontId="81" fillId="12" borderId="0" applyNumberFormat="0" applyBorder="0" applyAlignment="0" applyProtection="0">
      <alignment vertical="center"/>
    </xf>
    <xf numFmtId="0" fontId="60" fillId="7"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62" fillId="10" borderId="42" applyNumberFormat="0" applyAlignment="0" applyProtection="0">
      <alignment vertical="center"/>
    </xf>
    <xf numFmtId="1" fontId="9" fillId="0" borderId="4">
      <alignment vertical="center"/>
      <protection locked="0"/>
    </xf>
    <xf numFmtId="1" fontId="9" fillId="0" borderId="4">
      <alignment vertical="center"/>
      <protection locked="0"/>
    </xf>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62" fillId="10" borderId="42" applyNumberFormat="0" applyAlignment="0" applyProtection="0">
      <alignment vertical="center"/>
    </xf>
    <xf numFmtId="0" fontId="60"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62"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1" fillId="0" borderId="0"/>
    <xf numFmtId="0" fontId="51" fillId="9" borderId="43" applyNumberFormat="0" applyFont="0" applyAlignment="0" applyProtection="0">
      <alignment vertical="center"/>
    </xf>
    <xf numFmtId="0" fontId="56" fillId="10" borderId="42" applyNumberFormat="0" applyAlignment="0" applyProtection="0">
      <alignment vertical="center"/>
    </xf>
    <xf numFmtId="0" fontId="68" fillId="15" borderId="0" applyNumberFormat="0" applyBorder="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62"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67" fillId="0" borderId="7">
      <alignment horizontal="lef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68" fillId="15" borderId="0" applyNumberFormat="0" applyBorder="0" applyAlignment="0" applyProtection="0">
      <alignment vertical="center"/>
    </xf>
    <xf numFmtId="0" fontId="62" fillId="10" borderId="42" applyNumberFormat="0" applyAlignment="0" applyProtection="0">
      <alignment vertical="center"/>
    </xf>
    <xf numFmtId="0" fontId="60"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62"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62"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60"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65" fillId="10" borderId="45"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63" fillId="0" borderId="44" applyNumberFormat="0" applyFill="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7" fillId="0" borderId="44" applyNumberFormat="0" applyFill="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64" fillId="0" borderId="46" applyProtection="0"/>
    <xf numFmtId="0" fontId="64" fillId="0" borderId="46" applyProtection="0"/>
    <xf numFmtId="0" fontId="63" fillId="0" borderId="44" applyNumberFormat="0" applyFill="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67" fillId="0" borderId="7">
      <alignment horizontal="left" vertical="center"/>
    </xf>
    <xf numFmtId="0" fontId="63" fillId="0" borderId="44" applyNumberFormat="0" applyFill="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61" fillId="12" borderId="0" applyNumberFormat="0" applyBorder="0" applyAlignment="0" applyProtection="0">
      <alignment vertical="center"/>
    </xf>
    <xf numFmtId="0" fontId="61" fillId="12" borderId="0" applyNumberFormat="0" applyBorder="0" applyAlignment="0" applyProtection="0">
      <alignment vertical="center"/>
    </xf>
    <xf numFmtId="0" fontId="58" fillId="10" borderId="45" applyNumberFormat="0" applyAlignment="0" applyProtection="0">
      <alignment vertical="center"/>
    </xf>
    <xf numFmtId="0" fontId="60" fillId="7" borderId="42" applyNumberFormat="0" applyAlignment="0" applyProtection="0">
      <alignment vertical="center"/>
    </xf>
    <xf numFmtId="0" fontId="67" fillId="0" borderId="7">
      <alignment horizontal="lef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61" fillId="12" borderId="0" applyNumberFormat="0" applyBorder="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67" fillId="0" borderId="7">
      <alignment horizontal="left" vertical="center"/>
    </xf>
    <xf numFmtId="0" fontId="63" fillId="0" borderId="44" applyNumberFormat="0" applyFill="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61" fillId="12" borderId="0" applyNumberFormat="0" applyBorder="0" applyAlignment="0" applyProtection="0">
      <alignment vertical="center"/>
    </xf>
    <xf numFmtId="0" fontId="76" fillId="15" borderId="0" applyNumberFormat="0" applyBorder="0" applyAlignment="0" applyProtection="0">
      <alignment vertical="center"/>
    </xf>
    <xf numFmtId="0" fontId="60"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67" fillId="0" borderId="7">
      <alignment horizontal="lef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62"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23" fillId="0" borderId="0">
      <alignment vertical="center"/>
    </xf>
    <xf numFmtId="0" fontId="68" fillId="15" borderId="0" applyNumberFormat="0" applyBorder="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8" fillId="10" borderId="45" applyNumberFormat="0" applyAlignment="0" applyProtection="0">
      <alignment vertical="center"/>
    </xf>
    <xf numFmtId="0" fontId="65" fillId="10" borderId="45"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7" fillId="0" borderId="44" applyNumberFormat="0" applyFill="0" applyAlignment="0" applyProtection="0">
      <alignment vertical="center"/>
    </xf>
    <xf numFmtId="0" fontId="57" fillId="0" borderId="44" applyNumberFormat="0" applyFill="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7" fillId="0" borderId="44" applyNumberFormat="0" applyFill="0" applyAlignment="0" applyProtection="0">
      <alignment vertical="center"/>
    </xf>
    <xf numFmtId="0" fontId="56" fillId="10" borderId="42" applyNumberFormat="0" applyAlignment="0" applyProtection="0">
      <alignment vertical="center"/>
    </xf>
    <xf numFmtId="0" fontId="57" fillId="0" borderId="44" applyNumberFormat="0" applyFill="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97" fillId="0" borderId="2" applyNumberFormat="0" applyFill="0" applyProtection="0">
      <alignment horizontal="right"/>
    </xf>
    <xf numFmtId="0" fontId="65" fillId="10" borderId="45"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64" fillId="0" borderId="46" applyProtection="0"/>
    <xf numFmtId="0" fontId="56" fillId="10" borderId="42" applyNumberFormat="0" applyAlignment="0" applyProtection="0">
      <alignment vertical="center"/>
    </xf>
    <xf numFmtId="0" fontId="54" fillId="7" borderId="42" applyNumberFormat="0" applyAlignment="0" applyProtection="0">
      <alignment vertical="center"/>
    </xf>
    <xf numFmtId="0" fontId="64" fillId="0" borderId="46" applyProtection="0"/>
    <xf numFmtId="0" fontId="56" fillId="10" borderId="42" applyNumberFormat="0" applyAlignment="0" applyProtection="0">
      <alignment vertical="center"/>
    </xf>
    <xf numFmtId="0" fontId="59" fillId="9" borderId="4" applyNumberFormat="0" applyBorder="0" applyAlignment="0" applyProtection="0"/>
    <xf numFmtId="0" fontId="64" fillId="0" borderId="46" applyProtection="0"/>
    <xf numFmtId="0" fontId="57" fillId="0" borderId="44" applyNumberFormat="0" applyFill="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65" fillId="10" borderId="45"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65" fillId="10" borderId="45" applyNumberFormat="0" applyAlignment="0" applyProtection="0">
      <alignment vertical="center"/>
    </xf>
    <xf numFmtId="0" fontId="60"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7" fillId="0" borderId="44" applyNumberFormat="0" applyFill="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60"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7" fillId="0" borderId="44" applyNumberFormat="0" applyFill="0" applyAlignment="0" applyProtection="0">
      <alignment vertical="center"/>
    </xf>
    <xf numFmtId="0" fontId="56" fillId="10" borderId="42" applyNumberFormat="0" applyAlignment="0" applyProtection="0">
      <alignment vertical="center"/>
    </xf>
    <xf numFmtId="0" fontId="57" fillId="0" borderId="44" applyNumberFormat="0" applyFill="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97" fillId="0" borderId="2" applyNumberFormat="0" applyFill="0" applyProtection="0">
      <alignment horizontal="right"/>
    </xf>
    <xf numFmtId="0" fontId="65" fillId="10" borderId="45" applyNumberFormat="0" applyAlignment="0" applyProtection="0">
      <alignment vertical="center"/>
    </xf>
    <xf numFmtId="0" fontId="65" fillId="10" borderId="45"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4" fillId="7" borderId="42" applyNumberFormat="0" applyAlignment="0" applyProtection="0">
      <alignment vertical="center"/>
    </xf>
    <xf numFmtId="0" fontId="74" fillId="0" borderId="48" applyNumberFormat="0" applyFill="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8" fillId="10" borderId="45" applyNumberFormat="0" applyAlignment="0" applyProtection="0">
      <alignment vertical="center"/>
    </xf>
    <xf numFmtId="0" fontId="54" fillId="7" borderId="42" applyNumberFormat="0" applyAlignment="0" applyProtection="0">
      <alignment vertical="center"/>
    </xf>
    <xf numFmtId="181" fontId="97" fillId="0" borderId="0" applyFont="0" applyFill="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4" fillId="7" borderId="42" applyNumberFormat="0" applyAlignment="0" applyProtection="0">
      <alignment vertical="center"/>
    </xf>
    <xf numFmtId="181" fontId="97" fillId="0" borderId="0" applyFont="0" applyFill="0" applyBorder="0" applyAlignment="0" applyProtection="0"/>
    <xf numFmtId="0" fontId="56" fillId="10" borderId="42" applyNumberFormat="0" applyAlignment="0" applyProtection="0">
      <alignment vertical="center"/>
    </xf>
    <xf numFmtId="0" fontId="51" fillId="9" borderId="43" applyNumberFormat="0" applyFon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1" fillId="9" borderId="43" applyNumberFormat="0" applyFont="0" applyAlignment="0" applyProtection="0">
      <alignment vertical="center"/>
    </xf>
    <xf numFmtId="0" fontId="84" fillId="15" borderId="0" applyNumberFormat="0" applyBorder="0" applyAlignment="0" applyProtection="0"/>
    <xf numFmtId="0" fontId="57" fillId="0" borderId="44" applyNumberFormat="0" applyFill="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4" fillId="7" borderId="42" applyNumberFormat="0" applyAlignment="0" applyProtection="0">
      <alignment vertical="center"/>
    </xf>
    <xf numFmtId="43" fontId="97" fillId="0" borderId="0" applyFont="0" applyFill="0" applyBorder="0" applyAlignment="0" applyProtection="0"/>
    <xf numFmtId="0" fontId="56" fillId="10" borderId="42" applyNumberFormat="0" applyAlignment="0" applyProtection="0">
      <alignment vertical="center"/>
    </xf>
    <xf numFmtId="0" fontId="59" fillId="9" borderId="4" applyNumberFormat="0" applyBorder="0" applyAlignment="0" applyProtection="0"/>
    <xf numFmtId="0" fontId="51" fillId="9" borderId="43" applyNumberFormat="0" applyFont="0" applyAlignment="0" applyProtection="0">
      <alignment vertical="center"/>
    </xf>
    <xf numFmtId="0" fontId="84" fillId="15" borderId="0" applyNumberFormat="0" applyBorder="0" applyAlignment="0" applyProtection="0"/>
    <xf numFmtId="43" fontId="97" fillId="0" borderId="0" applyFont="0" applyFill="0" applyBorder="0" applyAlignment="0" applyProtection="0"/>
    <xf numFmtId="0" fontId="56" fillId="10" borderId="42" applyNumberFormat="0" applyAlignment="0" applyProtection="0">
      <alignment vertical="center"/>
    </xf>
    <xf numFmtId="0" fontId="51" fillId="9" borderId="43" applyNumberFormat="0" applyFont="0" applyAlignment="0" applyProtection="0">
      <alignment vertical="center"/>
    </xf>
    <xf numFmtId="43" fontId="97" fillId="0" borderId="0" applyFont="0" applyFill="0" applyBorder="0" applyAlignment="0" applyProtection="0"/>
    <xf numFmtId="0" fontId="56" fillId="10" borderId="42" applyNumberFormat="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60"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68" fillId="15" borderId="0" applyNumberFormat="0" applyBorder="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68" fillId="15" borderId="0" applyNumberFormat="0" applyBorder="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57" fillId="0" borderId="44" applyNumberFormat="0" applyFill="0" applyAlignment="0" applyProtection="0">
      <alignment vertical="center"/>
    </xf>
    <xf numFmtId="0" fontId="57" fillId="0" borderId="44" applyNumberFormat="0" applyFill="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7" fillId="0" borderId="44" applyNumberFormat="0" applyFill="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67" fillId="0" borderId="7">
      <alignment horizontal="left" vertical="center"/>
    </xf>
    <xf numFmtId="0" fontId="65" fillId="10" borderId="45"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63" fillId="0" borderId="44" applyNumberFormat="0" applyFill="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43" fontId="97" fillId="0" borderId="0" applyFont="0" applyFill="0" applyBorder="0" applyAlignment="0" applyProtection="0"/>
    <xf numFmtId="0" fontId="56" fillId="10" borderId="42" applyNumberFormat="0" applyAlignment="0" applyProtection="0">
      <alignment vertical="center"/>
    </xf>
    <xf numFmtId="0" fontId="59" fillId="9" borderId="4" applyNumberFormat="0" applyBorder="0" applyAlignment="0" applyProtection="0"/>
    <xf numFmtId="43" fontId="97" fillId="0" borderId="0" applyFont="0" applyFill="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68" fillId="15" borderId="0" applyNumberFormat="0" applyBorder="0" applyAlignment="0" applyProtection="0">
      <alignment vertical="center"/>
    </xf>
    <xf numFmtId="0" fontId="54" fillId="7" borderId="42" applyNumberFormat="0" applyAlignment="0" applyProtection="0">
      <alignment vertical="center"/>
    </xf>
    <xf numFmtId="43" fontId="97" fillId="0" borderId="0" applyFont="0" applyFill="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7" fillId="0" borderId="44" applyNumberFormat="0" applyFill="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74" fillId="0" borderId="48" applyNumberFormat="0" applyFill="0" applyAlignment="0" applyProtection="0">
      <alignment vertical="center"/>
    </xf>
    <xf numFmtId="0" fontId="62" fillId="10" borderId="42" applyNumberFormat="0" applyAlignment="0" applyProtection="0">
      <alignment vertical="center"/>
    </xf>
    <xf numFmtId="0" fontId="56" fillId="10" borderId="42" applyNumberFormat="0" applyAlignment="0" applyProtection="0">
      <alignment vertical="center"/>
    </xf>
    <xf numFmtId="0" fontId="79" fillId="0" borderId="0">
      <alignment horizontal="center" vertical="center"/>
    </xf>
    <xf numFmtId="0" fontId="65" fillId="10" borderId="45" applyNumberFormat="0" applyAlignment="0" applyProtection="0">
      <alignment vertical="center"/>
    </xf>
    <xf numFmtId="0" fontId="74" fillId="0" borderId="0" applyNumberFormat="0" applyFill="0" applyBorder="0" applyAlignment="0" applyProtection="0">
      <alignment vertical="center"/>
    </xf>
    <xf numFmtId="0" fontId="62" fillId="10" borderId="42" applyNumberFormat="0" applyAlignment="0" applyProtection="0">
      <alignment vertical="center"/>
    </xf>
    <xf numFmtId="0" fontId="56" fillId="10" borderId="42" applyNumberFormat="0" applyAlignment="0" applyProtection="0">
      <alignment vertical="center"/>
    </xf>
    <xf numFmtId="0" fontId="65" fillId="10" borderId="45" applyNumberFormat="0" applyAlignment="0" applyProtection="0">
      <alignment vertical="center"/>
    </xf>
    <xf numFmtId="0" fontId="56" fillId="10" borderId="42" applyNumberFormat="0" applyAlignment="0" applyProtection="0">
      <alignment vertical="center"/>
    </xf>
    <xf numFmtId="0" fontId="65" fillId="10" borderId="45" applyNumberFormat="0" applyAlignment="0" applyProtection="0">
      <alignment vertical="center"/>
    </xf>
    <xf numFmtId="0" fontId="56" fillId="10" borderId="42" applyNumberFormat="0" applyAlignment="0" applyProtection="0">
      <alignment vertical="center"/>
    </xf>
    <xf numFmtId="0" fontId="57" fillId="0" borderId="44" applyNumberFormat="0" applyFill="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64" fillId="0" borderId="46" applyProtection="0"/>
    <xf numFmtId="0" fontId="59" fillId="9" borderId="4" applyNumberFormat="0" applyBorder="0" applyAlignment="0" applyProtection="0"/>
    <xf numFmtId="0" fontId="36" fillId="0" borderId="0">
      <alignment vertical="center"/>
    </xf>
    <xf numFmtId="0" fontId="58" fillId="10" borderId="45"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62" fillId="10" borderId="42" applyNumberFormat="0" applyAlignment="0" applyProtection="0">
      <alignment vertical="center"/>
    </xf>
    <xf numFmtId="1" fontId="9" fillId="0" borderId="4">
      <alignment vertical="center"/>
      <protection locked="0"/>
    </xf>
    <xf numFmtId="0" fontId="56" fillId="10" borderId="42" applyNumberFormat="0" applyAlignment="0" applyProtection="0">
      <alignment vertical="center"/>
    </xf>
    <xf numFmtId="0" fontId="64" fillId="0" borderId="46" applyProtection="0"/>
    <xf numFmtId="0" fontId="59" fillId="9" borderId="4" applyNumberFormat="0" applyBorder="0" applyAlignment="0" applyProtection="0"/>
    <xf numFmtId="0" fontId="51" fillId="0" borderId="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62"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97" fillId="0" borderId="2" applyNumberFormat="0" applyFill="0" applyProtection="0">
      <alignment horizontal="right"/>
    </xf>
    <xf numFmtId="0" fontId="59" fillId="9" borderId="4" applyNumberFormat="0" applyBorder="0" applyAlignment="0" applyProtection="0"/>
    <xf numFmtId="0" fontId="67" fillId="0" borderId="7">
      <alignment horizontal="lef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4" fillId="7" borderId="42" applyNumberFormat="0" applyAlignment="0" applyProtection="0">
      <alignment vertical="center"/>
    </xf>
    <xf numFmtId="0" fontId="57" fillId="0" borderId="44" applyNumberFormat="0" applyFill="0" applyAlignment="0" applyProtection="0">
      <alignment vertical="center"/>
    </xf>
    <xf numFmtId="0" fontId="54" fillId="7" borderId="42" applyNumberFormat="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68" fillId="15" borderId="0" applyNumberFormat="0" applyBorder="0" applyAlignment="0" applyProtection="0">
      <alignment vertical="center"/>
    </xf>
    <xf numFmtId="0" fontId="62"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7" fillId="0" borderId="44" applyNumberFormat="0" applyFill="0" applyAlignment="0" applyProtection="0">
      <alignment vertical="center"/>
    </xf>
    <xf numFmtId="0" fontId="60" fillId="7" borderId="42" applyNumberFormat="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81" fillId="12" borderId="0" applyNumberFormat="0" applyBorder="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1" fillId="9" borderId="43" applyNumberFormat="0" applyFont="0" applyAlignment="0" applyProtection="0">
      <alignment vertical="center"/>
    </xf>
    <xf numFmtId="0" fontId="61" fillId="12" borderId="0" applyNumberFormat="0" applyBorder="0" applyAlignment="0" applyProtection="0">
      <alignment vertical="center"/>
    </xf>
    <xf numFmtId="0" fontId="81" fillId="12" borderId="0" applyNumberFormat="0" applyBorder="0" applyAlignment="0" applyProtection="0">
      <alignment vertical="center"/>
    </xf>
    <xf numFmtId="0" fontId="60" fillId="7" borderId="42" applyNumberFormat="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8" fillId="10" borderId="45" applyNumberFormat="0" applyAlignment="0" applyProtection="0">
      <alignment vertical="center"/>
    </xf>
    <xf numFmtId="0" fontId="61" fillId="12" borderId="0" applyNumberFormat="0" applyBorder="0" applyAlignment="0" applyProtection="0">
      <alignment vertical="center"/>
    </xf>
    <xf numFmtId="0" fontId="81" fillId="12" borderId="0" applyNumberFormat="0" applyBorder="0" applyAlignment="0" applyProtection="0">
      <alignment vertical="center"/>
    </xf>
    <xf numFmtId="0" fontId="57" fillId="0" borderId="44" applyNumberFormat="0" applyFill="0" applyAlignment="0" applyProtection="0">
      <alignment vertical="center"/>
    </xf>
    <xf numFmtId="0" fontId="60" fillId="7"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1" fillId="9" borderId="43" applyNumberFormat="0" applyFont="0" applyAlignment="0" applyProtection="0">
      <alignment vertical="center"/>
    </xf>
    <xf numFmtId="0" fontId="63" fillId="0" borderId="44" applyNumberFormat="0" applyFill="0" applyAlignment="0" applyProtection="0">
      <alignment vertical="center"/>
    </xf>
    <xf numFmtId="0" fontId="60"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1" fillId="9" borderId="43" applyNumberFormat="0" applyFon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63" fillId="0" borderId="44" applyNumberFormat="0" applyFill="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63" fillId="0" borderId="44" applyNumberFormat="0" applyFill="0" applyAlignment="0" applyProtection="0">
      <alignment vertical="center"/>
    </xf>
    <xf numFmtId="0" fontId="54" fillId="7" borderId="42" applyNumberFormat="0" applyAlignment="0" applyProtection="0">
      <alignment vertical="center"/>
    </xf>
    <xf numFmtId="0" fontId="65" fillId="10" borderId="45"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63" fillId="0" borderId="44" applyNumberFormat="0" applyFill="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64" fillId="0" borderId="46" applyProtection="0"/>
    <xf numFmtId="0" fontId="63" fillId="0" borderId="44" applyNumberFormat="0" applyFill="0" applyAlignment="0" applyProtection="0">
      <alignment vertical="center"/>
    </xf>
    <xf numFmtId="0" fontId="56" fillId="10" borderId="42" applyNumberFormat="0" applyAlignment="0" applyProtection="0">
      <alignment vertical="center"/>
    </xf>
    <xf numFmtId="0" fontId="62" fillId="10" borderId="42" applyNumberFormat="0" applyAlignment="0" applyProtection="0">
      <alignment vertical="center"/>
    </xf>
    <xf numFmtId="0" fontId="62"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9" fillId="9" borderId="4" applyNumberFormat="0" applyBorder="0" applyAlignment="0" applyProtection="0"/>
    <xf numFmtId="0" fontId="56" fillId="10"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72" fillId="0" borderId="47">
      <alignment horizontal="center"/>
    </xf>
    <xf numFmtId="0" fontId="54" fillId="7" borderId="42" applyNumberFormat="0" applyAlignment="0" applyProtection="0">
      <alignment vertical="center"/>
    </xf>
    <xf numFmtId="0" fontId="56" fillId="10" borderId="42" applyNumberFormat="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8" fillId="10" borderId="45" applyNumberFormat="0" applyAlignment="0" applyProtection="0">
      <alignment vertical="center"/>
    </xf>
    <xf numFmtId="0" fontId="59" fillId="9" borderId="4" applyNumberFormat="0" applyBorder="0" applyAlignment="0" applyProtection="0"/>
    <xf numFmtId="0" fontId="57" fillId="0" borderId="44" applyNumberFormat="0" applyFill="0" applyAlignment="0" applyProtection="0">
      <alignment vertical="center"/>
    </xf>
    <xf numFmtId="0" fontId="54" fillId="7" borderId="42" applyNumberFormat="0" applyAlignment="0" applyProtection="0">
      <alignment vertical="center"/>
    </xf>
    <xf numFmtId="0" fontId="56" fillId="10" borderId="42" applyNumberFormat="0" applyAlignment="0" applyProtection="0">
      <alignment vertical="center"/>
    </xf>
    <xf numFmtId="0" fontId="56" fillId="10" borderId="42" applyNumberFormat="0" applyAlignment="0" applyProtection="0">
      <alignment vertical="center"/>
    </xf>
    <xf numFmtId="41" fontId="51" fillId="0" borderId="0" applyFont="0" applyFill="0" applyBorder="0" applyAlignment="0" applyProtection="0"/>
    <xf numFmtId="43" fontId="97" fillId="0" borderId="0" applyFont="0" applyFill="0" applyBorder="0" applyAlignment="0" applyProtection="0"/>
    <xf numFmtId="43" fontId="97" fillId="0" borderId="0" applyFont="0" applyFill="0" applyBorder="0" applyAlignment="0" applyProtection="0"/>
    <xf numFmtId="43" fontId="97" fillId="0" borderId="0" applyFont="0" applyFill="0" applyBorder="0" applyAlignment="0" applyProtection="0"/>
    <xf numFmtId="43" fontId="97" fillId="0" borderId="0" applyFont="0" applyFill="0" applyBorder="0" applyAlignment="0" applyProtection="0"/>
    <xf numFmtId="43" fontId="97" fillId="0" borderId="0" applyFont="0" applyFill="0" applyBorder="0" applyAlignment="0" applyProtection="0"/>
    <xf numFmtId="43" fontId="97" fillId="0" borderId="0" applyFont="0" applyFill="0" applyBorder="0" applyAlignment="0" applyProtection="0"/>
    <xf numFmtId="43" fontId="97" fillId="0" borderId="0" applyFont="0" applyFill="0" applyBorder="0" applyAlignment="0" applyProtection="0"/>
    <xf numFmtId="43" fontId="97" fillId="0" borderId="0" applyFont="0" applyFill="0" applyBorder="0" applyAlignment="0" applyProtection="0"/>
    <xf numFmtId="43" fontId="97" fillId="0" borderId="0" applyFont="0" applyFill="0" applyBorder="0" applyAlignment="0" applyProtection="0"/>
    <xf numFmtId="43" fontId="97" fillId="0" borderId="0" applyFont="0" applyFill="0" applyBorder="0" applyAlignment="0" applyProtection="0"/>
    <xf numFmtId="43" fontId="97" fillId="0" borderId="0" applyFont="0" applyFill="0" applyBorder="0" applyAlignment="0" applyProtection="0"/>
    <xf numFmtId="43" fontId="97" fillId="0" borderId="0" applyFont="0" applyFill="0" applyBorder="0" applyAlignment="0" applyProtection="0"/>
    <xf numFmtId="0" fontId="59" fillId="9" borderId="4" applyNumberFormat="0" applyBorder="0" applyAlignment="0" applyProtection="0"/>
    <xf numFmtId="0" fontId="51" fillId="9" borderId="43" applyNumberFormat="0" applyFont="0" applyAlignment="0" applyProtection="0">
      <alignment vertical="center"/>
    </xf>
    <xf numFmtId="9" fontId="33" fillId="0" borderId="0" applyFont="0" applyFill="0" applyBorder="0" applyAlignment="0" applyProtection="0">
      <alignment vertical="center"/>
    </xf>
    <xf numFmtId="9" fontId="23" fillId="0" borderId="0" applyFont="0" applyFill="0" applyBorder="0" applyAlignment="0" applyProtection="0">
      <alignment vertical="center"/>
    </xf>
    <xf numFmtId="0" fontId="97" fillId="0" borderId="2" applyNumberFormat="0" applyFill="0" applyProtection="0">
      <alignment horizontal="right"/>
    </xf>
    <xf numFmtId="0" fontId="97" fillId="0" borderId="2" applyNumberFormat="0" applyFill="0" applyProtection="0">
      <alignment horizontal="right"/>
    </xf>
    <xf numFmtId="0" fontId="97" fillId="0" borderId="2" applyNumberFormat="0" applyFill="0" applyProtection="0">
      <alignment horizontal="right"/>
    </xf>
    <xf numFmtId="0" fontId="97" fillId="0" borderId="2" applyNumberFormat="0" applyFill="0" applyProtection="0">
      <alignment horizontal="right"/>
    </xf>
    <xf numFmtId="0" fontId="80" fillId="0" borderId="1" applyNumberFormat="0" applyFill="0" applyProtection="0">
      <alignment horizontal="center"/>
    </xf>
    <xf numFmtId="0" fontId="80" fillId="0" borderId="1" applyNumberFormat="0" applyFill="0" applyProtection="0">
      <alignment horizontal="center"/>
    </xf>
    <xf numFmtId="0" fontId="33" fillId="0" borderId="0">
      <alignment vertical="center"/>
    </xf>
    <xf numFmtId="0" fontId="33" fillId="0" borderId="0">
      <alignment vertical="center"/>
    </xf>
    <xf numFmtId="0" fontId="97" fillId="0" borderId="0"/>
    <xf numFmtId="0" fontId="36" fillId="0" borderId="0">
      <alignment vertical="center"/>
    </xf>
    <xf numFmtId="0" fontId="79" fillId="0" borderId="0">
      <alignment horizontal="center" vertical="center"/>
    </xf>
    <xf numFmtId="0" fontId="51" fillId="0" borderId="0">
      <alignment vertical="center"/>
    </xf>
    <xf numFmtId="0" fontId="51" fillId="0" borderId="0">
      <alignment vertical="center"/>
    </xf>
    <xf numFmtId="0" fontId="23" fillId="0" borderId="0">
      <alignment vertical="center"/>
    </xf>
    <xf numFmtId="0" fontId="54" fillId="7" borderId="42" applyNumberFormat="0" applyAlignment="0" applyProtection="0">
      <alignment vertical="center"/>
    </xf>
    <xf numFmtId="0" fontId="23" fillId="0" borderId="0">
      <alignment vertical="center"/>
    </xf>
    <xf numFmtId="0" fontId="54" fillId="7" borderId="42" applyNumberFormat="0" applyAlignment="0" applyProtection="0">
      <alignment vertical="center"/>
    </xf>
    <xf numFmtId="0" fontId="23" fillId="0" borderId="0">
      <alignment vertical="center"/>
    </xf>
    <xf numFmtId="0" fontId="23" fillId="0" borderId="0">
      <alignment vertical="center"/>
    </xf>
    <xf numFmtId="0" fontId="63" fillId="0" borderId="44" applyNumberFormat="0" applyFill="0" applyAlignment="0" applyProtection="0">
      <alignment vertical="center"/>
    </xf>
    <xf numFmtId="0" fontId="80" fillId="0" borderId="1" applyNumberFormat="0" applyFill="0" applyProtection="0">
      <alignment horizontal="left"/>
    </xf>
    <xf numFmtId="0" fontId="80" fillId="0" borderId="1" applyNumberFormat="0" applyFill="0" applyProtection="0">
      <alignment horizontal="left"/>
    </xf>
    <xf numFmtId="43" fontId="33" fillId="0" borderId="0" applyFont="0" applyFill="0" applyBorder="0" applyAlignment="0" applyProtection="0">
      <alignment vertical="center"/>
    </xf>
    <xf numFmtId="43" fontId="51"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51"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51" fillId="0" borderId="0" applyFont="0" applyFill="0" applyBorder="0" applyAlignment="0" applyProtection="0">
      <alignment vertical="center"/>
    </xf>
    <xf numFmtId="1" fontId="97" fillId="0" borderId="1" applyFill="0" applyProtection="0">
      <alignment horizontal="center"/>
    </xf>
  </cellStyleXfs>
  <cellXfs count="622">
    <xf numFmtId="0" fontId="0" fillId="0" borderId="0" xfId="0"/>
    <xf numFmtId="0" fontId="2" fillId="0" borderId="0" xfId="2658" applyFont="1" applyFill="1" applyAlignment="1" applyProtection="1">
      <alignment horizontal="left" vertical="center"/>
      <protection locked="0"/>
    </xf>
    <xf numFmtId="0" fontId="2" fillId="0" borderId="0" xfId="2658" applyFont="1" applyFill="1" applyAlignment="1" applyProtection="1">
      <alignment horizontal="left" vertical="center" wrapText="1"/>
      <protection locked="0"/>
    </xf>
    <xf numFmtId="0" fontId="2" fillId="0" borderId="0" xfId="2658" applyFont="1" applyFill="1" applyAlignment="1" applyProtection="1">
      <alignment vertical="center"/>
      <protection locked="0"/>
    </xf>
    <xf numFmtId="0" fontId="2" fillId="0" borderId="0" xfId="2658" applyFont="1" applyFill="1" applyAlignment="1" applyProtection="1">
      <alignment horizontal="right" vertical="center"/>
      <protection locked="0"/>
    </xf>
    <xf numFmtId="0" fontId="2" fillId="0" borderId="4" xfId="2658" applyFont="1" applyFill="1" applyBorder="1" applyAlignment="1" applyProtection="1">
      <alignment horizontal="center" vertical="center"/>
      <protection hidden="1"/>
    </xf>
    <xf numFmtId="0" fontId="2" fillId="0" borderId="4" xfId="2658" applyFont="1" applyFill="1" applyBorder="1" applyAlignment="1" applyProtection="1">
      <alignment horizontal="center" vertical="center" wrapText="1"/>
      <protection hidden="1"/>
    </xf>
    <xf numFmtId="0" fontId="2" fillId="0" borderId="4" xfId="2658" applyFont="1" applyFill="1" applyBorder="1" applyAlignment="1" applyProtection="1">
      <alignment horizontal="center" vertical="center"/>
      <protection locked="0"/>
    </xf>
    <xf numFmtId="0" fontId="4" fillId="0" borderId="4" xfId="0" applyFont="1" applyBorder="1" applyAlignment="1">
      <alignment horizontal="left" vertical="center" wrapText="1"/>
    </xf>
    <xf numFmtId="0" fontId="5" fillId="0" borderId="4" xfId="0" applyFont="1" applyBorder="1" applyAlignment="1">
      <alignment horizontal="center" vertical="center" wrapText="1"/>
    </xf>
    <xf numFmtId="0" fontId="4" fillId="0" borderId="4" xfId="2306" applyFont="1" applyFill="1" applyBorder="1" applyAlignment="1">
      <alignment horizontal="center" vertical="center" wrapText="1"/>
    </xf>
    <xf numFmtId="0" fontId="4" fillId="0" borderId="4" xfId="2306" applyFont="1" applyFill="1" applyBorder="1" applyAlignment="1">
      <alignment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3" fillId="0" borderId="4" xfId="0" applyFont="1" applyBorder="1" applyAlignment="1">
      <alignment horizontal="right" vertical="center"/>
    </xf>
    <xf numFmtId="0" fontId="3" fillId="0" borderId="4" xfId="2306" applyFont="1" applyFill="1" applyBorder="1" applyAlignment="1">
      <alignment horizontal="right" vertical="center" wrapText="1"/>
    </xf>
    <xf numFmtId="0" fontId="3" fillId="0" borderId="4" xfId="2306" applyFont="1" applyFill="1" applyBorder="1" applyAlignment="1">
      <alignment vertical="center" wrapText="1"/>
    </xf>
    <xf numFmtId="0" fontId="6" fillId="2" borderId="4"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right" vertical="center"/>
    </xf>
    <xf numFmtId="0" fontId="6" fillId="0" borderId="4" xfId="0" applyFont="1" applyBorder="1" applyAlignment="1">
      <alignment horizontal="left" vertical="center" wrapText="1"/>
    </xf>
    <xf numFmtId="0" fontId="3" fillId="2" borderId="4" xfId="0" applyFont="1" applyFill="1" applyBorder="1" applyAlignment="1">
      <alignment horizontal="left" vertical="center" wrapText="1"/>
    </xf>
    <xf numFmtId="0" fontId="3" fillId="0" borderId="0" xfId="0" applyFont="1"/>
    <xf numFmtId="0" fontId="4" fillId="0" borderId="0" xfId="0" applyFont="1"/>
    <xf numFmtId="184" fontId="7" fillId="0" borderId="4" xfId="2658" applyNumberFormat="1" applyFont="1" applyFill="1" applyBorder="1" applyAlignment="1">
      <alignment horizontal="center" vertical="center"/>
    </xf>
    <xf numFmtId="0" fontId="2" fillId="0" borderId="4" xfId="1979" applyFont="1" applyFill="1" applyBorder="1" applyAlignment="1">
      <alignment vertical="center" wrapText="1"/>
    </xf>
    <xf numFmtId="0" fontId="2" fillId="0" borderId="4" xfId="1979" applyFont="1" applyFill="1" applyBorder="1" applyAlignment="1">
      <alignment horizontal="left" vertical="center" wrapText="1"/>
    </xf>
    <xf numFmtId="0" fontId="2" fillId="0" borderId="4" xfId="1979" applyFont="1" applyFill="1" applyBorder="1" applyAlignment="1">
      <alignment horizontal="center" vertical="center" wrapText="1"/>
    </xf>
    <xf numFmtId="0" fontId="3" fillId="0" borderId="4" xfId="1979" applyNumberFormat="1" applyFont="1" applyFill="1" applyBorder="1" applyAlignment="1">
      <alignment horizontal="right" vertical="center" wrapText="1"/>
    </xf>
    <xf numFmtId="0" fontId="8" fillId="0" borderId="4" xfId="0" applyFont="1" applyBorder="1" applyAlignment="1">
      <alignment vertical="center"/>
    </xf>
    <xf numFmtId="0" fontId="0" fillId="0" borderId="0" xfId="1979" applyFont="1" applyFill="1" applyAlignment="1"/>
    <xf numFmtId="185" fontId="9" fillId="0" borderId="0" xfId="2306" applyNumberFormat="1" applyFont="1" applyFill="1" applyBorder="1" applyAlignment="1">
      <alignment horizontal="center" vertical="center" wrapText="1"/>
    </xf>
    <xf numFmtId="0" fontId="10" fillId="0" borderId="0" xfId="2658" applyFont="1" applyFill="1" applyAlignment="1" applyProtection="1">
      <alignment horizontal="left" vertical="center"/>
      <protection locked="0"/>
    </xf>
    <xf numFmtId="0" fontId="10" fillId="0" borderId="0" xfId="2658" applyFont="1" applyFill="1" applyAlignment="1" applyProtection="1">
      <alignment horizontal="left" vertical="center" wrapText="1"/>
      <protection locked="0"/>
    </xf>
    <xf numFmtId="0" fontId="10" fillId="0" borderId="0" xfId="2658" applyFont="1" applyFill="1" applyAlignment="1" applyProtection="1">
      <alignment horizontal="right" vertical="center"/>
      <protection locked="0"/>
    </xf>
    <xf numFmtId="184" fontId="10" fillId="0" borderId="0" xfId="2658" applyNumberFormat="1" applyFont="1" applyFill="1" applyAlignment="1" applyProtection="1">
      <alignment horizontal="right" vertical="center"/>
      <protection locked="0"/>
    </xf>
    <xf numFmtId="0" fontId="9" fillId="0" borderId="5" xfId="0" applyFont="1" applyBorder="1" applyAlignment="1" applyProtection="1">
      <alignment horizontal="left" vertical="center"/>
      <protection locked="0"/>
    </xf>
    <xf numFmtId="0" fontId="10" fillId="0" borderId="5" xfId="2658" applyFont="1" applyFill="1" applyBorder="1" applyAlignment="1" applyProtection="1">
      <alignment horizontal="center" vertical="center"/>
      <protection locked="0"/>
    </xf>
    <xf numFmtId="0" fontId="10" fillId="0" borderId="4" xfId="2658" applyFont="1" applyFill="1" applyBorder="1" applyAlignment="1" applyProtection="1">
      <alignment horizontal="center" vertical="center"/>
      <protection hidden="1"/>
    </xf>
    <xf numFmtId="0" fontId="10" fillId="0" borderId="4" xfId="2658" applyFont="1" applyFill="1" applyBorder="1" applyAlignment="1" applyProtection="1">
      <alignment horizontal="center" vertical="center" wrapText="1"/>
      <protection hidden="1"/>
    </xf>
    <xf numFmtId="0" fontId="10" fillId="0" borderId="4" xfId="2658" applyFont="1" applyFill="1" applyBorder="1" applyAlignment="1" applyProtection="1">
      <alignment horizontal="center" vertical="center"/>
      <protection locked="0"/>
    </xf>
    <xf numFmtId="184" fontId="10" fillId="0" borderId="4" xfId="2658" applyNumberFormat="1" applyFont="1" applyFill="1" applyBorder="1" applyAlignment="1" applyProtection="1">
      <alignment horizontal="center" vertical="center"/>
      <protection locked="0"/>
    </xf>
    <xf numFmtId="49" fontId="4" fillId="0" borderId="4" xfId="2306" applyNumberFormat="1" applyFont="1" applyFill="1" applyBorder="1" applyAlignment="1">
      <alignment vertical="center" wrapText="1"/>
    </xf>
    <xf numFmtId="0" fontId="3" fillId="0" borderId="4" xfId="2306" applyFont="1" applyFill="1" applyBorder="1" applyAlignment="1">
      <alignment horizontal="center" vertical="center" wrapText="1"/>
    </xf>
    <xf numFmtId="184" fontId="9" fillId="0" borderId="4" xfId="2306" applyNumberFormat="1" applyFont="1" applyFill="1" applyBorder="1" applyAlignment="1">
      <alignment vertical="center" wrapText="1"/>
    </xf>
    <xf numFmtId="49" fontId="3" fillId="0" borderId="4" xfId="2306" applyNumberFormat="1" applyFont="1" applyFill="1" applyBorder="1" applyAlignment="1">
      <alignment vertical="center" wrapText="1"/>
    </xf>
    <xf numFmtId="184" fontId="9" fillId="0" borderId="4" xfId="2306" applyNumberFormat="1" applyFont="1" applyFill="1" applyBorder="1" applyAlignment="1">
      <alignment horizontal="center" vertical="center" wrapText="1"/>
    </xf>
    <xf numFmtId="0" fontId="3" fillId="0" borderId="4" xfId="2306" applyNumberFormat="1" applyFont="1" applyFill="1" applyBorder="1" applyAlignment="1">
      <alignment horizontal="center" vertical="center" wrapText="1"/>
    </xf>
    <xf numFmtId="184" fontId="3" fillId="0" borderId="4" xfId="2306" applyNumberFormat="1" applyFont="1" applyFill="1" applyBorder="1" applyAlignment="1">
      <alignment horizontal="center" vertical="center" wrapText="1"/>
    </xf>
    <xf numFmtId="186" fontId="3" fillId="0" borderId="4" xfId="2306" applyNumberFormat="1" applyFont="1" applyFill="1" applyBorder="1" applyAlignment="1">
      <alignment horizontal="center" vertical="center" wrapText="1"/>
    </xf>
    <xf numFmtId="49" fontId="2" fillId="0" borderId="4" xfId="2306" applyNumberFormat="1" applyFont="1" applyFill="1" applyBorder="1" applyAlignment="1">
      <alignment vertical="center" wrapText="1"/>
    </xf>
    <xf numFmtId="0" fontId="2" fillId="0" borderId="4" xfId="2306" applyFont="1" applyFill="1" applyBorder="1" applyAlignment="1">
      <alignment vertical="center" wrapText="1"/>
    </xf>
    <xf numFmtId="0" fontId="2" fillId="0" borderId="4" xfId="2306" applyFont="1" applyFill="1" applyBorder="1" applyAlignment="1">
      <alignment horizontal="center" vertical="center" wrapText="1"/>
    </xf>
    <xf numFmtId="0" fontId="4" fillId="0" borderId="4" xfId="2306" applyNumberFormat="1" applyFont="1" applyFill="1" applyBorder="1" applyAlignment="1">
      <alignment vertical="center" wrapText="1"/>
    </xf>
    <xf numFmtId="49" fontId="9" fillId="0" borderId="0" xfId="2306" applyNumberFormat="1" applyFont="1" applyFill="1" applyBorder="1" applyAlignment="1">
      <alignment vertical="center" wrapText="1"/>
    </xf>
    <xf numFmtId="0" fontId="9" fillId="0" borderId="0" xfId="2306" applyFont="1" applyFill="1" applyBorder="1" applyAlignment="1">
      <alignment horizontal="center" vertical="center" wrapText="1"/>
    </xf>
    <xf numFmtId="184" fontId="11" fillId="0" borderId="0" xfId="2306" applyNumberFormat="1" applyFont="1" applyFill="1" applyBorder="1" applyAlignment="1">
      <alignment vertical="center" wrapText="1"/>
    </xf>
    <xf numFmtId="0" fontId="9" fillId="0" borderId="0" xfId="2306" applyFont="1" applyFill="1" applyBorder="1" applyAlignment="1">
      <alignment vertical="center" wrapText="1"/>
    </xf>
    <xf numFmtId="184" fontId="10" fillId="0" borderId="0" xfId="2658" applyNumberFormat="1" applyFont="1" applyFill="1" applyAlignment="1" applyProtection="1">
      <alignment horizontal="center" vertical="center"/>
      <protection locked="0"/>
    </xf>
    <xf numFmtId="187" fontId="3" fillId="0" borderId="4" xfId="2306" applyNumberFormat="1" applyFont="1" applyFill="1" applyBorder="1" applyAlignment="1">
      <alignment horizontal="center" vertical="center" wrapText="1"/>
    </xf>
    <xf numFmtId="188" fontId="3" fillId="0" borderId="4" xfId="2306" applyNumberFormat="1" applyFont="1" applyFill="1" applyBorder="1" applyAlignment="1">
      <alignment horizontal="center" vertical="center" wrapText="1"/>
    </xf>
    <xf numFmtId="49" fontId="3" fillId="0" borderId="4" xfId="2306" applyNumberFormat="1" applyFont="1" applyFill="1" applyBorder="1" applyAlignment="1">
      <alignment horizontal="center" vertical="center" wrapText="1"/>
    </xf>
    <xf numFmtId="49" fontId="3" fillId="0" borderId="4" xfId="2306" applyNumberFormat="1" applyFont="1" applyFill="1" applyBorder="1" applyAlignment="1">
      <alignment horizontal="left" vertical="center" wrapText="1"/>
    </xf>
    <xf numFmtId="184" fontId="12" fillId="0" borderId="4" xfId="2306" applyNumberFormat="1" applyFont="1" applyFill="1" applyBorder="1" applyAlignment="1">
      <alignment horizontal="center" vertical="center" wrapText="1"/>
    </xf>
    <xf numFmtId="0" fontId="12" fillId="0" borderId="4" xfId="2306" applyNumberFormat="1" applyFont="1" applyFill="1" applyBorder="1" applyAlignment="1">
      <alignment horizontal="center" vertical="center" wrapText="1"/>
    </xf>
    <xf numFmtId="0" fontId="5" fillId="0" borderId="0" xfId="2189" applyFont="1" applyFill="1" applyAlignment="1">
      <alignment horizontal="center" vertical="center"/>
    </xf>
    <xf numFmtId="0" fontId="2" fillId="0" borderId="4" xfId="2189" applyFont="1" applyFill="1" applyBorder="1" applyAlignment="1">
      <alignment horizontal="center" vertical="center"/>
    </xf>
    <xf numFmtId="38" fontId="2" fillId="0" borderId="4" xfId="2189" applyNumberFormat="1" applyFont="1" applyFill="1" applyBorder="1" applyAlignment="1">
      <alignment horizontal="right" vertical="center"/>
    </xf>
    <xf numFmtId="9" fontId="2" fillId="0" borderId="4" xfId="1007" applyNumberFormat="1" applyFont="1" applyFill="1" applyBorder="1" applyAlignment="1">
      <alignment horizontal="center" vertical="center"/>
    </xf>
    <xf numFmtId="40" fontId="2" fillId="0" borderId="4" xfId="2189" applyNumberFormat="1" applyFont="1" applyFill="1" applyBorder="1" applyAlignment="1">
      <alignment horizontal="center" vertical="center"/>
    </xf>
    <xf numFmtId="0" fontId="2" fillId="0" borderId="4" xfId="2189" applyFont="1" applyFill="1" applyBorder="1" applyAlignment="1">
      <alignment horizontal="center" vertical="center" wrapText="1"/>
    </xf>
    <xf numFmtId="0" fontId="2" fillId="0" borderId="0" xfId="2189" applyFont="1" applyFill="1" applyAlignment="1">
      <alignment vertical="center"/>
    </xf>
    <xf numFmtId="40" fontId="2" fillId="0" borderId="4" xfId="2189" applyNumberFormat="1" applyFont="1" applyFill="1" applyBorder="1" applyAlignment="1">
      <alignment horizontal="right" vertical="center"/>
    </xf>
    <xf numFmtId="10" fontId="2" fillId="0" borderId="4" xfId="1007" applyNumberFormat="1" applyFont="1" applyFill="1" applyBorder="1" applyAlignment="1">
      <alignment horizontal="center" vertical="center"/>
    </xf>
    <xf numFmtId="0" fontId="10" fillId="0" borderId="0" xfId="0" applyFont="1" applyAlignment="1">
      <alignment vertical="center"/>
    </xf>
    <xf numFmtId="0" fontId="10" fillId="0" borderId="0" xfId="0" applyFont="1" applyAlignment="1">
      <alignment horizontal="center" vertical="center"/>
    </xf>
    <xf numFmtId="43" fontId="0" fillId="0" borderId="0" xfId="0" applyNumberFormat="1" applyAlignment="1">
      <alignment vertical="center"/>
    </xf>
    <xf numFmtId="0" fontId="2" fillId="0" borderId="4" xfId="0" applyFont="1" applyBorder="1" applyAlignment="1">
      <alignment horizontal="center" vertical="center"/>
    </xf>
    <xf numFmtId="43" fontId="3" fillId="0" borderId="4" xfId="0" applyNumberFormat="1" applyFont="1" applyBorder="1" applyAlignment="1">
      <alignment horizontal="center" vertical="center"/>
    </xf>
    <xf numFmtId="9" fontId="2" fillId="0" borderId="4" xfId="0" applyNumberFormat="1" applyFont="1" applyBorder="1" applyAlignment="1">
      <alignment horizontal="center" vertical="center"/>
    </xf>
    <xf numFmtId="0" fontId="2" fillId="0" borderId="4" xfId="0" applyFont="1" applyBorder="1" applyAlignment="1">
      <alignment horizontal="center" vertical="center" wrapText="1"/>
    </xf>
    <xf numFmtId="0" fontId="3" fillId="0" borderId="4" xfId="0" applyFont="1" applyBorder="1" applyAlignment="1">
      <alignment horizontal="center" vertical="center"/>
    </xf>
    <xf numFmtId="43" fontId="3" fillId="0" borderId="4" xfId="0" applyNumberFormat="1" applyFont="1" applyBorder="1" applyAlignment="1">
      <alignment horizontal="center" vertical="center" wrapText="1"/>
    </xf>
    <xf numFmtId="0" fontId="10" fillId="0" borderId="4" xfId="2237" applyFont="1" applyFill="1" applyBorder="1" applyAlignment="1">
      <alignment horizontal="center" vertical="center"/>
    </xf>
    <xf numFmtId="43" fontId="0" fillId="0" borderId="4" xfId="2020" applyNumberFormat="1" applyFont="1" applyFill="1" applyBorder="1" applyAlignment="1">
      <alignment horizontal="center" vertical="center"/>
    </xf>
    <xf numFmtId="9" fontId="10" fillId="0" borderId="4" xfId="2237" applyNumberFormat="1" applyFont="1" applyFill="1" applyBorder="1" applyAlignment="1">
      <alignment horizontal="center" vertical="center"/>
    </xf>
    <xf numFmtId="43" fontId="0" fillId="0" borderId="4" xfId="2020" applyNumberFormat="1" applyFont="1" applyFill="1" applyBorder="1">
      <alignment vertical="center"/>
    </xf>
    <xf numFmtId="0" fontId="10" fillId="0" borderId="4" xfId="2237" applyFont="1" applyFill="1" applyBorder="1" applyAlignment="1">
      <alignment horizontal="center" vertical="center" wrapText="1"/>
    </xf>
    <xf numFmtId="0" fontId="3" fillId="0" borderId="4" xfId="2570" applyFont="1" applyFill="1" applyBorder="1" applyAlignment="1">
      <alignment horizontal="center" vertical="center"/>
    </xf>
    <xf numFmtId="0" fontId="3" fillId="0" borderId="4" xfId="2592" applyFont="1" applyFill="1" applyBorder="1" applyAlignment="1">
      <alignment horizontal="center" vertical="center"/>
    </xf>
    <xf numFmtId="43" fontId="0" fillId="0" borderId="0" xfId="2020" applyNumberFormat="1" applyFont="1" applyFill="1" applyBorder="1">
      <alignment vertical="center"/>
    </xf>
    <xf numFmtId="0" fontId="10" fillId="0" borderId="0" xfId="2237" applyFont="1" applyFill="1" applyAlignment="1">
      <alignment vertical="center"/>
    </xf>
    <xf numFmtId="0" fontId="10" fillId="0" borderId="0" xfId="2237" applyFont="1" applyFill="1" applyAlignment="1">
      <alignment horizontal="center" vertical="center"/>
    </xf>
    <xf numFmtId="0" fontId="14" fillId="0" borderId="0" xfId="0" applyFont="1"/>
    <xf numFmtId="0" fontId="15" fillId="0" borderId="0" xfId="2568" applyNumberFormat="1" applyFont="1" applyAlignment="1">
      <alignment horizontal="center" vertical="center"/>
    </xf>
    <xf numFmtId="0" fontId="16" fillId="0" borderId="0" xfId="2568" applyNumberFormat="1" applyFont="1" applyAlignment="1">
      <alignment horizontal="center" vertical="center"/>
    </xf>
    <xf numFmtId="0" fontId="17" fillId="0" borderId="4" xfId="2568" applyNumberFormat="1" applyFont="1" applyBorder="1" applyAlignment="1">
      <alignment horizontal="left" vertical="center" wrapText="1"/>
    </xf>
    <xf numFmtId="43" fontId="18" fillId="0" borderId="4" xfId="2017" applyNumberFormat="1" applyFont="1" applyFill="1" applyBorder="1" applyAlignment="1" applyProtection="1">
      <alignment horizontal="center" vertical="center" wrapText="1"/>
    </xf>
    <xf numFmtId="0" fontId="17" fillId="0" borderId="4" xfId="2568" applyNumberFormat="1" applyFont="1" applyBorder="1" applyAlignment="1" applyProtection="1">
      <alignment horizontal="center" vertical="center" wrapText="1"/>
      <protection hidden="1"/>
    </xf>
    <xf numFmtId="0" fontId="14" fillId="0" borderId="4" xfId="0" applyFont="1" applyBorder="1"/>
    <xf numFmtId="0" fontId="19" fillId="0" borderId="4" xfId="2568" applyNumberFormat="1" applyFont="1" applyBorder="1" applyAlignment="1">
      <alignment horizontal="left" vertical="center"/>
    </xf>
    <xf numFmtId="43" fontId="14" fillId="0" borderId="4" xfId="2568" applyNumberFormat="1" applyFont="1" applyBorder="1" applyAlignment="1" applyProtection="1">
      <alignment vertical="center"/>
    </xf>
    <xf numFmtId="189" fontId="14" fillId="0" borderId="4" xfId="2568" applyNumberFormat="1" applyFont="1" applyBorder="1" applyAlignment="1" applyProtection="1">
      <alignment vertical="center" wrapText="1"/>
      <protection locked="0"/>
    </xf>
    <xf numFmtId="0" fontId="14" fillId="0" borderId="4" xfId="0" applyFont="1" applyBorder="1" applyAlignment="1">
      <alignment horizontal="center" vertical="center"/>
    </xf>
    <xf numFmtId="189" fontId="14" fillId="0" borderId="4" xfId="2568" applyNumberFormat="1" applyFont="1" applyBorder="1" applyAlignment="1" applyProtection="1">
      <alignment vertical="center" wrapText="1"/>
      <protection hidden="1"/>
    </xf>
    <xf numFmtId="0" fontId="19" fillId="0" borderId="4" xfId="2568" applyNumberFormat="1" applyFont="1" applyBorder="1" applyAlignment="1">
      <alignment horizontal="left" vertical="center" indent="1"/>
    </xf>
    <xf numFmtId="189" fontId="3" fillId="0" borderId="4" xfId="2568" applyNumberFormat="1" applyFont="1" applyBorder="1" applyAlignment="1" applyProtection="1">
      <alignment vertical="center" wrapText="1"/>
      <protection locked="0"/>
    </xf>
    <xf numFmtId="2" fontId="14" fillId="0" borderId="4" xfId="2568" applyFont="1" applyBorder="1" applyAlignment="1">
      <alignment horizontal="left" vertical="center" wrapText="1"/>
    </xf>
    <xf numFmtId="43" fontId="14" fillId="0" borderId="4" xfId="2568" applyNumberFormat="1" applyFont="1" applyBorder="1" applyAlignment="1" applyProtection="1">
      <alignment horizontal="center" vertical="center"/>
    </xf>
    <xf numFmtId="43" fontId="20" fillId="0" borderId="4" xfId="2568" applyNumberFormat="1" applyFont="1" applyBorder="1" applyAlignment="1" applyProtection="1">
      <alignment horizontal="center" vertical="center"/>
    </xf>
    <xf numFmtId="189" fontId="3" fillId="0" borderId="4" xfId="2568" applyNumberFormat="1" applyFont="1" applyBorder="1" applyAlignment="1" applyProtection="1">
      <alignment horizontal="left" vertical="center" wrapText="1"/>
      <protection locked="0"/>
    </xf>
    <xf numFmtId="0" fontId="19" fillId="0" borderId="4" xfId="2568" applyNumberFormat="1" applyFont="1" applyBorder="1" applyAlignment="1">
      <alignment horizontal="left" vertical="center" wrapText="1"/>
    </xf>
    <xf numFmtId="0" fontId="14" fillId="0" borderId="4" xfId="4095" applyFont="1" applyBorder="1" applyAlignment="1">
      <alignment horizontal="center" vertical="center" wrapText="1"/>
    </xf>
    <xf numFmtId="49" fontId="19" fillId="0" borderId="4" xfId="2568" applyNumberFormat="1" applyFont="1" applyBorder="1" applyAlignment="1">
      <alignment horizontal="left" vertical="center" indent="1"/>
    </xf>
    <xf numFmtId="43" fontId="14" fillId="0" borderId="4" xfId="2568" applyNumberFormat="1" applyFont="1" applyBorder="1" applyAlignment="1" applyProtection="1">
      <alignment horizontal="left" vertical="center"/>
    </xf>
    <xf numFmtId="189" fontId="14" fillId="0" borderId="4" xfId="2568" applyNumberFormat="1" applyFont="1" applyBorder="1" applyAlignment="1" applyProtection="1">
      <alignment horizontal="left" vertical="center" wrapText="1"/>
      <protection locked="0"/>
    </xf>
    <xf numFmtId="49" fontId="19" fillId="0" borderId="4" xfId="2568" applyNumberFormat="1" applyFont="1" applyBorder="1" applyAlignment="1">
      <alignment horizontal="left" vertical="center"/>
    </xf>
    <xf numFmtId="0" fontId="14" fillId="0" borderId="4" xfId="4095" applyFont="1" applyBorder="1" applyAlignment="1">
      <alignment horizontal="left" vertical="center" wrapText="1"/>
    </xf>
    <xf numFmtId="0" fontId="14" fillId="0" borderId="4" xfId="0" applyFont="1" applyBorder="1" applyAlignment="1">
      <alignment horizontal="center" vertical="center" wrapText="1"/>
    </xf>
    <xf numFmtId="0" fontId="19" fillId="0" borderId="4" xfId="2568" applyNumberFormat="1" applyFont="1" applyBorder="1" applyAlignment="1">
      <alignment vertical="center"/>
    </xf>
    <xf numFmtId="189" fontId="19" fillId="0" borderId="4" xfId="2568" applyNumberFormat="1" applyFont="1" applyBorder="1" applyAlignment="1">
      <alignment vertical="center" wrapText="1"/>
    </xf>
    <xf numFmtId="0" fontId="0" fillId="0" borderId="0" xfId="0" applyAlignment="1">
      <alignment horizontal="center" vertical="center"/>
    </xf>
    <xf numFmtId="187" fontId="0" fillId="0" borderId="0" xfId="0" applyNumberFormat="1"/>
    <xf numFmtId="0" fontId="14" fillId="0" borderId="0" xfId="2658" applyFont="1" applyFill="1" applyBorder="1" applyAlignment="1" applyProtection="1">
      <alignment horizontal="left" vertical="center" wrapText="1"/>
      <protection locked="0"/>
    </xf>
    <xf numFmtId="182" fontId="14" fillId="0" borderId="0" xfId="324" applyNumberFormat="1" applyFont="1" applyBorder="1" applyAlignment="1">
      <alignment horizontal="center" vertical="center" wrapText="1"/>
    </xf>
    <xf numFmtId="0" fontId="14" fillId="3" borderId="4" xfId="2306" applyFont="1" applyFill="1" applyBorder="1" applyAlignment="1">
      <alignment horizontal="center" vertical="center" wrapText="1"/>
    </xf>
    <xf numFmtId="187" fontId="14" fillId="3" borderId="4" xfId="2306" applyNumberFormat="1" applyFont="1" applyFill="1" applyBorder="1" applyAlignment="1">
      <alignment horizontal="center" vertical="center" wrapText="1"/>
    </xf>
    <xf numFmtId="10" fontId="14" fillId="3" borderId="4" xfId="2306" applyNumberFormat="1" applyFont="1" applyFill="1" applyBorder="1" applyAlignment="1">
      <alignment horizontal="center" vertical="center" wrapText="1"/>
    </xf>
    <xf numFmtId="192" fontId="14" fillId="3" borderId="4" xfId="35" applyNumberFormat="1" applyFont="1" applyFill="1" applyBorder="1" applyAlignment="1">
      <alignment horizontal="center" vertical="center" wrapText="1"/>
    </xf>
    <xf numFmtId="0" fontId="14" fillId="0" borderId="4" xfId="2306" applyFont="1" applyFill="1" applyBorder="1" applyAlignment="1">
      <alignment horizontal="center" vertical="center" wrapText="1"/>
    </xf>
    <xf numFmtId="0" fontId="19" fillId="0" borderId="4" xfId="2112" applyFont="1" applyFill="1" applyBorder="1" applyAlignment="1" applyProtection="1">
      <alignment horizontal="center" vertical="center"/>
    </xf>
    <xf numFmtId="187" fontId="14" fillId="0" borderId="4" xfId="2306" applyNumberFormat="1" applyFont="1" applyFill="1" applyBorder="1" applyAlignment="1">
      <alignment horizontal="center" vertical="center" wrapText="1"/>
    </xf>
    <xf numFmtId="191" fontId="14" fillId="0" borderId="4" xfId="2112" applyNumberFormat="1" applyFont="1" applyFill="1" applyBorder="1" applyAlignment="1" applyProtection="1">
      <alignment horizontal="center" vertical="center"/>
    </xf>
    <xf numFmtId="0" fontId="14" fillId="0" borderId="4" xfId="2306" applyFont="1" applyFill="1" applyBorder="1" applyAlignment="1">
      <alignment horizontal="center" vertical="center"/>
    </xf>
    <xf numFmtId="187" fontId="14" fillId="0" borderId="4" xfId="2306" applyNumberFormat="1" applyFont="1" applyFill="1" applyBorder="1" applyAlignment="1">
      <alignment horizontal="center" vertical="center"/>
    </xf>
    <xf numFmtId="1" fontId="14" fillId="0" borderId="4" xfId="2306" applyNumberFormat="1" applyFont="1" applyFill="1" applyBorder="1" applyAlignment="1">
      <alignment horizontal="center" vertical="center"/>
    </xf>
    <xf numFmtId="192" fontId="14" fillId="0" borderId="4" xfId="35" applyNumberFormat="1" applyFont="1" applyFill="1" applyBorder="1" applyAlignment="1">
      <alignment horizontal="center" vertical="center" wrapText="1"/>
    </xf>
    <xf numFmtId="0" fontId="23" fillId="0" borderId="4" xfId="0" applyFont="1" applyBorder="1" applyAlignment="1">
      <alignment horizontal="center" vertical="center"/>
    </xf>
    <xf numFmtId="0" fontId="14" fillId="0" borderId="4" xfId="2306" applyNumberFormat="1" applyFont="1" applyFill="1" applyBorder="1" applyAlignment="1">
      <alignment horizontal="center" vertical="center" wrapText="1"/>
    </xf>
    <xf numFmtId="184" fontId="14" fillId="0" borderId="14" xfId="2306" applyNumberFormat="1" applyFont="1" applyFill="1" applyBorder="1" applyAlignment="1">
      <alignment vertical="center" wrapText="1"/>
    </xf>
    <xf numFmtId="0" fontId="23" fillId="0" borderId="9" xfId="0" applyFont="1" applyBorder="1" applyAlignment="1">
      <alignment horizontal="center" vertical="center"/>
    </xf>
    <xf numFmtId="0" fontId="23" fillId="0" borderId="9" xfId="0" applyFont="1" applyBorder="1" applyAlignment="1">
      <alignment horizontal="center" vertical="center" wrapText="1"/>
    </xf>
    <xf numFmtId="184" fontId="14" fillId="0" borderId="15" xfId="2306" applyNumberFormat="1" applyFont="1" applyFill="1" applyBorder="1" applyAlignment="1">
      <alignment vertical="center" wrapText="1"/>
    </xf>
    <xf numFmtId="43" fontId="14" fillId="0" borderId="4" xfId="35" applyFont="1" applyFill="1" applyBorder="1" applyAlignment="1">
      <alignment horizontal="center" vertical="center" wrapText="1"/>
    </xf>
    <xf numFmtId="2" fontId="14" fillId="0" borderId="4" xfId="2306" applyNumberFormat="1" applyFont="1" applyFill="1" applyBorder="1" applyAlignment="1">
      <alignment horizontal="center" vertical="center" wrapText="1"/>
    </xf>
    <xf numFmtId="0" fontId="18" fillId="0" borderId="4" xfId="2306" applyFont="1" applyFill="1" applyBorder="1" applyAlignment="1">
      <alignment horizontal="center" vertical="center" wrapText="1"/>
    </xf>
    <xf numFmtId="190" fontId="18" fillId="3" borderId="4" xfId="2306" applyNumberFormat="1" applyFont="1" applyFill="1" applyBorder="1" applyAlignment="1">
      <alignment horizontal="center" vertical="center" wrapText="1"/>
    </xf>
    <xf numFmtId="192" fontId="18" fillId="0" borderId="4" xfId="35" applyNumberFormat="1" applyFont="1" applyFill="1" applyBorder="1" applyAlignment="1">
      <alignment horizontal="center" vertical="center" wrapText="1"/>
    </xf>
    <xf numFmtId="43" fontId="18" fillId="0" borderId="4" xfId="35" applyFont="1" applyFill="1" applyBorder="1" applyAlignment="1">
      <alignment horizontal="center" vertical="center" wrapText="1"/>
    </xf>
    <xf numFmtId="0" fontId="22" fillId="0" borderId="4" xfId="2306" applyFont="1" applyFill="1" applyBorder="1" applyAlignment="1">
      <alignment horizontal="center" vertical="center" wrapText="1"/>
    </xf>
    <xf numFmtId="2" fontId="13" fillId="0" borderId="0" xfId="2568" applyFont="1" applyAlignment="1">
      <alignment horizontal="center" vertical="center"/>
    </xf>
    <xf numFmtId="2" fontId="13" fillId="2" borderId="0" xfId="2568" applyFont="1" applyFill="1" applyAlignment="1">
      <alignment horizontal="center" vertical="center"/>
    </xf>
    <xf numFmtId="43" fontId="25" fillId="2" borderId="9" xfId="2568" applyNumberFormat="1" applyFont="1" applyFill="1" applyBorder="1" applyAlignment="1">
      <alignment horizontal="center" vertical="center"/>
    </xf>
    <xf numFmtId="43" fontId="25" fillId="2" borderId="2" xfId="2568" applyNumberFormat="1" applyFont="1" applyFill="1" applyBorder="1" applyAlignment="1">
      <alignment horizontal="center" vertical="center"/>
    </xf>
    <xf numFmtId="2" fontId="25" fillId="0" borderId="4" xfId="2568" applyFont="1" applyBorder="1" applyAlignment="1">
      <alignment horizontal="left" vertical="center" wrapText="1"/>
    </xf>
    <xf numFmtId="43" fontId="26" fillId="0" borderId="4" xfId="2017" applyNumberFormat="1" applyFont="1" applyFill="1" applyBorder="1" applyAlignment="1" applyProtection="1">
      <alignment horizontal="center" vertical="center" wrapText="1"/>
    </xf>
    <xf numFmtId="43" fontId="26" fillId="2" borderId="4" xfId="2017" applyNumberFormat="1" applyFont="1" applyFill="1" applyBorder="1" applyAlignment="1" applyProtection="1">
      <alignment horizontal="center" vertical="center" wrapText="1"/>
    </xf>
    <xf numFmtId="2" fontId="27" fillId="0" borderId="4" xfId="2568" applyFont="1" applyBorder="1" applyAlignment="1" applyProtection="1">
      <alignment horizontal="center" vertical="center" wrapText="1"/>
      <protection hidden="1"/>
    </xf>
    <xf numFmtId="2" fontId="28" fillId="0" borderId="4" xfId="2568" applyFont="1" applyBorder="1" applyAlignment="1">
      <alignment horizontal="left" vertical="center"/>
    </xf>
    <xf numFmtId="43" fontId="29" fillId="0" borderId="4" xfId="2568" applyNumberFormat="1" applyFont="1" applyBorder="1" applyProtection="1"/>
    <xf numFmtId="43" fontId="29" fillId="2" borderId="4" xfId="2568" applyNumberFormat="1" applyFont="1" applyFill="1" applyBorder="1" applyProtection="1"/>
    <xf numFmtId="189" fontId="10" fillId="0" borderId="4" xfId="2568" applyNumberFormat="1" applyFont="1" applyBorder="1" applyProtection="1">
      <protection locked="0"/>
    </xf>
    <xf numFmtId="189" fontId="30" fillId="0" borderId="4" xfId="2568" applyNumberFormat="1" applyFont="1" applyBorder="1" applyProtection="1">
      <protection hidden="1"/>
    </xf>
    <xf numFmtId="2" fontId="28" fillId="0" borderId="4" xfId="2568" applyFont="1" applyBorder="1" applyAlignment="1">
      <alignment horizontal="left" vertical="center" indent="1"/>
    </xf>
    <xf numFmtId="189" fontId="10" fillId="0" borderId="4" xfId="2568" applyNumberFormat="1" applyFont="1" applyBorder="1" applyAlignment="1" applyProtection="1">
      <alignment vertical="center" wrapText="1"/>
      <protection locked="0"/>
    </xf>
    <xf numFmtId="2" fontId="28" fillId="0" borderId="4" xfId="2568" applyFont="1" applyBorder="1" applyAlignment="1">
      <alignment horizontal="left" vertical="center" wrapText="1"/>
    </xf>
    <xf numFmtId="189" fontId="30" fillId="0" borderId="4" xfId="2568" applyNumberFormat="1" applyFont="1" applyBorder="1" applyAlignment="1" applyProtection="1">
      <alignment vertical="center" wrapText="1"/>
      <protection locked="0"/>
    </xf>
    <xf numFmtId="189" fontId="30" fillId="0" borderId="4" xfId="2568" applyNumberFormat="1" applyFont="1" applyBorder="1" applyAlignment="1" applyProtection="1">
      <alignment vertical="center" wrapText="1"/>
      <protection hidden="1"/>
    </xf>
    <xf numFmtId="49" fontId="28" fillId="0" borderId="4" xfId="2568" applyNumberFormat="1" applyFont="1" applyBorder="1" applyAlignment="1">
      <alignment horizontal="left" vertical="center" indent="1"/>
    </xf>
    <xf numFmtId="43" fontId="2" fillId="0" borderId="0" xfId="2656" applyNumberFormat="1" applyFont="1" applyFill="1" applyAlignment="1">
      <alignment vertical="center"/>
    </xf>
    <xf numFmtId="49" fontId="28" fillId="0" borderId="4" xfId="2568" applyNumberFormat="1" applyFont="1" applyBorder="1" applyAlignment="1">
      <alignment horizontal="left" vertical="center"/>
    </xf>
    <xf numFmtId="2" fontId="28" fillId="0" borderId="4" xfId="2568" applyFont="1" applyBorder="1"/>
    <xf numFmtId="189" fontId="30" fillId="0" borderId="4" xfId="2568" applyNumberFormat="1" applyFont="1" applyBorder="1" applyAlignment="1">
      <alignment vertical="center" wrapText="1"/>
    </xf>
    <xf numFmtId="2" fontId="2" fillId="0" borderId="0" xfId="2568" applyFont="1"/>
    <xf numFmtId="2" fontId="2" fillId="2" borderId="0" xfId="2568" applyFont="1" applyFill="1"/>
    <xf numFmtId="0" fontId="0" fillId="0" borderId="0" xfId="0" applyAlignment="1">
      <alignment horizontal="center"/>
    </xf>
    <xf numFmtId="0" fontId="32" fillId="0" borderId="0" xfId="4094" applyFont="1" applyAlignment="1">
      <alignment horizontal="center" vertical="center"/>
    </xf>
    <xf numFmtId="0" fontId="23" fillId="0" borderId="0" xfId="1253">
      <alignment vertical="center"/>
    </xf>
    <xf numFmtId="0" fontId="23" fillId="0" borderId="0" xfId="1253" applyAlignment="1">
      <alignment horizontal="center" vertical="center"/>
    </xf>
    <xf numFmtId="0" fontId="34" fillId="0" borderId="4" xfId="4094" applyFont="1" applyBorder="1" applyAlignment="1">
      <alignment horizontal="center" vertical="center" wrapText="1"/>
    </xf>
    <xf numFmtId="2" fontId="34" fillId="0" borderId="4" xfId="4094" applyNumberFormat="1" applyFont="1" applyBorder="1" applyAlignment="1">
      <alignment horizontal="center" vertical="center" wrapText="1"/>
    </xf>
    <xf numFmtId="2" fontId="35" fillId="0" borderId="4" xfId="4094" applyNumberFormat="1" applyFont="1" applyBorder="1" applyAlignment="1">
      <alignment horizontal="center" vertical="center" wrapText="1"/>
    </xf>
    <xf numFmtId="9" fontId="34" fillId="0" borderId="4" xfId="72" applyFont="1" applyBorder="1" applyAlignment="1">
      <alignment horizontal="center" vertical="center" wrapText="1"/>
    </xf>
    <xf numFmtId="0" fontId="34" fillId="0" borderId="9" xfId="4094" applyFont="1" applyBorder="1" applyAlignment="1">
      <alignment horizontal="center" vertical="center" wrapText="1"/>
    </xf>
    <xf numFmtId="2" fontId="3" fillId="0" borderId="4" xfId="4094" applyNumberFormat="1" applyFont="1" applyBorder="1" applyAlignment="1">
      <alignment horizontal="center" vertical="center" wrapText="1"/>
    </xf>
    <xf numFmtId="0" fontId="34" fillId="0" borderId="4" xfId="4094" applyFont="1" applyBorder="1" applyAlignment="1">
      <alignment horizontal="justify" vertical="center" wrapText="1"/>
    </xf>
    <xf numFmtId="0" fontId="3" fillId="0" borderId="9" xfId="4094" applyFont="1" applyBorder="1" applyAlignment="1">
      <alignment horizontal="center" vertical="center" wrapText="1"/>
    </xf>
    <xf numFmtId="0" fontId="36" fillId="0" borderId="4" xfId="4096" applyBorder="1" applyAlignment="1">
      <alignment horizontal="center" vertical="center" wrapText="1"/>
    </xf>
    <xf numFmtId="0" fontId="3" fillId="0" borderId="4" xfId="4094" applyFont="1" applyBorder="1" applyAlignment="1">
      <alignment horizontal="center" vertical="center" wrapText="1"/>
    </xf>
    <xf numFmtId="193" fontId="7" fillId="0" borderId="0" xfId="2029" applyNumberFormat="1" applyFont="1" applyFill="1" applyBorder="1" applyAlignment="1" applyProtection="1">
      <alignment horizontal="center" vertical="center"/>
    </xf>
    <xf numFmtId="0" fontId="23" fillId="0" borderId="4" xfId="4094" applyFont="1" applyBorder="1" applyAlignment="1">
      <alignment horizontal="center" vertical="center"/>
    </xf>
    <xf numFmtId="0" fontId="34" fillId="0" borderId="4" xfId="4094" applyFont="1" applyBorder="1" applyAlignment="1">
      <alignment vertical="center" wrapText="1"/>
    </xf>
    <xf numFmtId="49" fontId="3" fillId="0" borderId="4" xfId="2671" applyNumberFormat="1" applyFont="1" applyFill="1" applyBorder="1" applyAlignment="1">
      <alignment horizontal="center" vertical="center" wrapText="1"/>
    </xf>
    <xf numFmtId="0" fontId="23" fillId="0" borderId="4" xfId="4094" applyFont="1" applyBorder="1">
      <alignment vertical="center"/>
    </xf>
    <xf numFmtId="2" fontId="23" fillId="0" borderId="4" xfId="4094" applyNumberFormat="1" applyFont="1" applyBorder="1" applyAlignment="1">
      <alignment horizontal="center" vertical="center"/>
    </xf>
    <xf numFmtId="184" fontId="3" fillId="0" borderId="4" xfId="4094" applyNumberFormat="1" applyFont="1"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37" fillId="0" borderId="0" xfId="0" applyFont="1" applyAlignment="1">
      <alignment horizontal="center"/>
    </xf>
    <xf numFmtId="0" fontId="38" fillId="0" borderId="0" xfId="0" applyFont="1"/>
    <xf numFmtId="0" fontId="2" fillId="0" borderId="8" xfId="2706" applyFont="1" applyFill="1" applyBorder="1" applyAlignment="1">
      <alignment horizontal="center" vertical="center" wrapText="1"/>
    </xf>
    <xf numFmtId="2" fontId="0" fillId="0" borderId="4" xfId="0" applyNumberFormat="1" applyBorder="1" applyAlignment="1">
      <alignment horizontal="center" vertical="center"/>
    </xf>
    <xf numFmtId="2" fontId="0" fillId="4" borderId="4" xfId="0" applyNumberFormat="1" applyFill="1" applyBorder="1" applyAlignment="1">
      <alignment horizontal="center" vertical="center"/>
    </xf>
    <xf numFmtId="0" fontId="38" fillId="0" borderId="0" xfId="0" applyFont="1" applyAlignment="1">
      <alignment horizontal="center"/>
    </xf>
    <xf numFmtId="0" fontId="3" fillId="0" borderId="8" xfId="0" applyFont="1" applyBorder="1" applyAlignment="1">
      <alignment horizontal="center" vertical="center" wrapText="1"/>
    </xf>
    <xf numFmtId="0" fontId="3" fillId="0" borderId="0" xfId="0" applyFont="1" applyAlignment="1">
      <alignment horizontal="center" vertical="center" wrapText="1"/>
    </xf>
    <xf numFmtId="2" fontId="0" fillId="0" borderId="0" xfId="0" applyNumberFormat="1" applyAlignment="1">
      <alignment horizontal="center" vertical="center"/>
    </xf>
    <xf numFmtId="180" fontId="40" fillId="0" borderId="4" xfId="2029" applyNumberFormat="1" applyFont="1" applyFill="1" applyBorder="1" applyAlignment="1" applyProtection="1">
      <alignment horizontal="center" vertical="center"/>
      <protection locked="0"/>
    </xf>
    <xf numFmtId="180" fontId="40" fillId="0" borderId="4" xfId="2029" applyNumberFormat="1" applyFont="1" applyFill="1" applyBorder="1" applyAlignment="1" applyProtection="1">
      <alignment horizontal="center" vertical="center" wrapText="1"/>
      <protection locked="0"/>
    </xf>
    <xf numFmtId="0" fontId="7" fillId="0" borderId="4" xfId="2029" applyNumberFormat="1" applyFont="1" applyFill="1" applyBorder="1" applyAlignment="1" applyProtection="1">
      <alignment horizontal="center" vertical="center"/>
      <protection locked="0"/>
    </xf>
    <xf numFmtId="180" fontId="7" fillId="0" borderId="4" xfId="2029" applyNumberFormat="1" applyFont="1" applyFill="1" applyBorder="1" applyAlignment="1" applyProtection="1">
      <alignment horizontal="center" vertical="center"/>
      <protection locked="0"/>
    </xf>
    <xf numFmtId="0" fontId="0" fillId="0" borderId="4" xfId="0" applyBorder="1"/>
    <xf numFmtId="0" fontId="7" fillId="0" borderId="8" xfId="2029" applyFont="1" applyFill="1" applyBorder="1" applyAlignment="1" applyProtection="1">
      <alignment horizontal="center" vertical="center"/>
      <protection locked="0"/>
    </xf>
    <xf numFmtId="0" fontId="3" fillId="0" borderId="4" xfId="2104" applyNumberFormat="1" applyFont="1" applyFill="1" applyBorder="1" applyAlignment="1">
      <alignment horizontal="center" vertical="center" wrapText="1"/>
    </xf>
    <xf numFmtId="0" fontId="7" fillId="0" borderId="16" xfId="2029" applyFont="1" applyFill="1" applyBorder="1" applyAlignment="1" applyProtection="1">
      <alignment horizontal="center" vertical="center"/>
      <protection locked="0"/>
    </xf>
    <xf numFmtId="180" fontId="41" fillId="0" borderId="4" xfId="2029" applyNumberFormat="1" applyFont="1" applyFill="1" applyBorder="1" applyAlignment="1" applyProtection="1">
      <alignment horizontal="center" vertical="center"/>
      <protection locked="0"/>
    </xf>
    <xf numFmtId="180" fontId="41" fillId="0" borderId="4" xfId="2029" applyNumberFormat="1" applyFont="1" applyFill="1" applyBorder="1" applyAlignment="1" applyProtection="1">
      <alignment horizontal="center" vertical="center" wrapText="1"/>
      <protection locked="0"/>
    </xf>
    <xf numFmtId="180" fontId="43" fillId="0" borderId="4" xfId="2029" applyNumberFormat="1" applyFont="1" applyFill="1" applyBorder="1" applyAlignment="1" applyProtection="1">
      <alignment horizontal="center" vertical="center" wrapText="1"/>
      <protection locked="0"/>
    </xf>
    <xf numFmtId="194" fontId="7" fillId="0" borderId="4" xfId="2029" applyNumberFormat="1" applyFont="1" applyFill="1" applyBorder="1" applyAlignment="1" applyProtection="1">
      <alignment horizontal="center" vertical="center"/>
      <protection locked="0"/>
    </xf>
    <xf numFmtId="180" fontId="7" fillId="0" borderId="4" xfId="2029" applyNumberFormat="1" applyFont="1" applyFill="1" applyBorder="1" applyAlignment="1" applyProtection="1">
      <alignment horizontal="center" vertical="center"/>
    </xf>
    <xf numFmtId="194" fontId="7" fillId="0" borderId="4" xfId="2029" applyNumberFormat="1" applyFont="1" applyFill="1" applyBorder="1" applyAlignment="1" applyProtection="1">
      <alignment horizontal="center" vertical="center"/>
    </xf>
    <xf numFmtId="193" fontId="7" fillId="0" borderId="4" xfId="2029" applyNumberFormat="1" applyFont="1" applyFill="1" applyBorder="1" applyAlignment="1" applyProtection="1">
      <alignment horizontal="center" vertical="center"/>
      <protection locked="0"/>
    </xf>
    <xf numFmtId="180" fontId="44" fillId="0" borderId="4" xfId="2029" applyNumberFormat="1" applyFont="1" applyFill="1" applyBorder="1" applyAlignment="1" applyProtection="1">
      <alignment horizontal="center" vertical="center"/>
      <protection locked="0"/>
    </xf>
    <xf numFmtId="193" fontId="44" fillId="0" borderId="4" xfId="2029" applyNumberFormat="1" applyFont="1" applyFill="1" applyBorder="1" applyAlignment="1" applyProtection="1">
      <alignment horizontal="center" vertical="center"/>
    </xf>
    <xf numFmtId="194" fontId="44" fillId="0" borderId="4" xfId="2029" applyNumberFormat="1" applyFont="1" applyFill="1" applyBorder="1" applyAlignment="1" applyProtection="1">
      <alignment horizontal="center" vertical="center"/>
    </xf>
    <xf numFmtId="193" fontId="7" fillId="0" borderId="4" xfId="2029" applyNumberFormat="1" applyFont="1" applyFill="1" applyBorder="1" applyAlignment="1" applyProtection="1">
      <alignment horizontal="center" vertical="center"/>
    </xf>
    <xf numFmtId="180" fontId="45" fillId="0" borderId="4" xfId="2029" applyNumberFormat="1" applyFont="1" applyFill="1" applyBorder="1" applyAlignment="1" applyProtection="1">
      <alignment horizontal="center" vertical="center"/>
    </xf>
    <xf numFmtId="0" fontId="7" fillId="0" borderId="4" xfId="2106" applyNumberFormat="1" applyFont="1" applyFill="1" applyBorder="1" applyAlignment="1" applyProtection="1">
      <alignment horizontal="center" vertical="center" wrapText="1"/>
      <protection locked="0"/>
    </xf>
    <xf numFmtId="193" fontId="0" fillId="0" borderId="4" xfId="0" applyNumberFormat="1" applyBorder="1"/>
    <xf numFmtId="193" fontId="44" fillId="0" borderId="4" xfId="2029" applyNumberFormat="1" applyFont="1" applyFill="1" applyBorder="1" applyAlignment="1" applyProtection="1">
      <alignment horizontal="center" vertical="center"/>
      <protection locked="0"/>
    </xf>
    <xf numFmtId="194" fontId="44" fillId="0" borderId="4" xfId="2029" applyNumberFormat="1" applyFont="1" applyFill="1" applyBorder="1" applyAlignment="1" applyProtection="1">
      <alignment horizontal="center" vertical="center"/>
      <protection locked="0"/>
    </xf>
    <xf numFmtId="193" fontId="46" fillId="0" borderId="4" xfId="2029" applyNumberFormat="1" applyFont="1" applyFill="1" applyBorder="1" applyAlignment="1" applyProtection="1">
      <alignment horizontal="center" vertical="center"/>
      <protection locked="0"/>
    </xf>
    <xf numFmtId="194" fontId="46" fillId="0" borderId="4" xfId="2029" applyNumberFormat="1" applyFont="1" applyFill="1" applyBorder="1" applyAlignment="1" applyProtection="1">
      <alignment horizontal="center" vertical="center"/>
      <protection locked="0"/>
    </xf>
    <xf numFmtId="180" fontId="0" fillId="0" borderId="4" xfId="2029" applyNumberFormat="1" applyFont="1" applyFill="1" applyBorder="1" applyAlignment="1" applyProtection="1">
      <alignment horizontal="center" vertical="center"/>
      <protection locked="0"/>
    </xf>
    <xf numFmtId="180" fontId="7" fillId="0" borderId="4" xfId="2029" applyNumberFormat="1" applyFont="1" applyFill="1" applyBorder="1" applyAlignment="1" applyProtection="1">
      <alignment horizontal="center" vertical="center" wrapText="1"/>
      <protection locked="0"/>
    </xf>
    <xf numFmtId="193" fontId="2" fillId="0" borderId="4" xfId="2106" applyNumberFormat="1" applyFont="1" applyFill="1" applyBorder="1" applyAlignment="1">
      <alignment horizontal="center"/>
    </xf>
    <xf numFmtId="0" fontId="2" fillId="0" borderId="0" xfId="2106" applyFont="1" applyFill="1" applyBorder="1" applyAlignment="1">
      <alignment horizontal="center"/>
    </xf>
    <xf numFmtId="194" fontId="5" fillId="0" borderId="0" xfId="2106" applyNumberFormat="1" applyFont="1" applyFill="1" applyBorder="1" applyAlignment="1">
      <alignment horizontal="center"/>
    </xf>
    <xf numFmtId="0" fontId="10" fillId="0" borderId="0" xfId="2106" applyFont="1" applyFill="1" applyBorder="1">
      <alignment vertical="center"/>
    </xf>
    <xf numFmtId="0" fontId="2" fillId="0" borderId="4" xfId="2106" applyFont="1" applyFill="1" applyBorder="1" applyAlignment="1">
      <alignment horizontal="center"/>
    </xf>
    <xf numFmtId="0" fontId="2" fillId="0" borderId="4" xfId="2106" applyFont="1" applyFill="1" applyBorder="1" applyAlignment="1">
      <alignment horizontal="center" wrapText="1"/>
    </xf>
    <xf numFmtId="0" fontId="2" fillId="0" borderId="0" xfId="2106" applyFont="1" applyFill="1" applyBorder="1" applyAlignment="1"/>
    <xf numFmtId="0" fontId="2" fillId="0" borderId="4" xfId="2106" applyFont="1" applyFill="1" applyBorder="1" applyAlignment="1">
      <alignment horizontal="center" vertical="center"/>
    </xf>
    <xf numFmtId="187" fontId="2" fillId="0" borderId="4" xfId="2106" applyNumberFormat="1" applyFont="1" applyFill="1" applyBorder="1" applyAlignment="1">
      <alignment horizontal="center" vertical="center"/>
    </xf>
    <xf numFmtId="192" fontId="2" fillId="0" borderId="4" xfId="35" applyNumberFormat="1" applyFont="1" applyFill="1" applyBorder="1" applyAlignment="1">
      <alignment horizontal="center" vertical="center"/>
    </xf>
    <xf numFmtId="187" fontId="2" fillId="0" borderId="4" xfId="35" applyNumberFormat="1" applyFont="1" applyFill="1" applyBorder="1" applyAlignment="1">
      <alignment horizontal="center" vertical="center"/>
    </xf>
    <xf numFmtId="192" fontId="2" fillId="0" borderId="0" xfId="35" applyNumberFormat="1" applyFont="1" applyFill="1" applyAlignment="1"/>
    <xf numFmtId="0" fontId="2" fillId="0" borderId="4" xfId="2106" applyFont="1" applyFill="1" applyBorder="1" applyAlignment="1">
      <alignment horizontal="center" vertical="center" wrapText="1"/>
    </xf>
    <xf numFmtId="184" fontId="0" fillId="0" borderId="4" xfId="0" applyNumberFormat="1" applyBorder="1" applyAlignment="1">
      <alignment horizontal="center" vertical="center"/>
    </xf>
    <xf numFmtId="192" fontId="0" fillId="0" borderId="0" xfId="0" applyNumberFormat="1"/>
    <xf numFmtId="180" fontId="7" fillId="0" borderId="0" xfId="2029" applyNumberFormat="1" applyFont="1" applyFill="1" applyBorder="1" applyAlignment="1" applyProtection="1">
      <alignment horizontal="center" vertical="center"/>
      <protection locked="0"/>
    </xf>
    <xf numFmtId="180" fontId="7" fillId="0" borderId="20" xfId="2029" applyNumberFormat="1" applyFont="1" applyFill="1" applyBorder="1" applyAlignment="1" applyProtection="1">
      <alignment horizontal="center" vertical="center"/>
      <protection locked="0"/>
    </xf>
    <xf numFmtId="195" fontId="3" fillId="0" borderId="4" xfId="2104" applyNumberFormat="1" applyFont="1" applyFill="1" applyBorder="1" applyAlignment="1">
      <alignment horizontal="center" vertical="center" wrapText="1"/>
    </xf>
    <xf numFmtId="2" fontId="3" fillId="0" borderId="4" xfId="2104" applyNumberFormat="1" applyFont="1" applyFill="1" applyBorder="1" applyAlignment="1">
      <alignment horizontal="center" vertical="center" wrapText="1"/>
    </xf>
    <xf numFmtId="0" fontId="7" fillId="0" borderId="4" xfId="2106" applyFont="1" applyFill="1" applyBorder="1" applyAlignment="1" applyProtection="1">
      <alignment horizontal="center" vertical="center"/>
      <protection locked="0"/>
    </xf>
    <xf numFmtId="180" fontId="42" fillId="0" borderId="0" xfId="2029" applyNumberFormat="1" applyFont="1" applyFill="1" applyBorder="1" applyAlignment="1" applyProtection="1">
      <alignment horizontal="center" vertical="center"/>
      <protection locked="0"/>
    </xf>
    <xf numFmtId="180" fontId="47" fillId="0" borderId="0" xfId="2029" applyNumberFormat="1" applyFont="1" applyFill="1" applyBorder="1" applyAlignment="1" applyProtection="1">
      <alignment horizontal="center" vertical="center"/>
    </xf>
    <xf numFmtId="180" fontId="43" fillId="0" borderId="0" xfId="2029" applyNumberFormat="1" applyFont="1" applyFill="1" applyBorder="1" applyAlignment="1" applyProtection="1">
      <alignment horizontal="center" vertical="center" wrapText="1"/>
      <protection locked="0"/>
    </xf>
    <xf numFmtId="180" fontId="47" fillId="0" borderId="0" xfId="2029" applyNumberFormat="1" applyFont="1" applyFill="1" applyBorder="1" applyAlignment="1" applyProtection="1">
      <alignment horizontal="center" vertical="center"/>
      <protection locked="0"/>
    </xf>
    <xf numFmtId="180" fontId="48" fillId="0" borderId="0" xfId="2029" applyNumberFormat="1" applyFont="1" applyFill="1" applyBorder="1" applyAlignment="1" applyProtection="1">
      <alignment vertical="center"/>
      <protection locked="0"/>
    </xf>
    <xf numFmtId="180" fontId="7" fillId="0" borderId="29" xfId="2029" applyNumberFormat="1" applyFont="1" applyFill="1" applyBorder="1" applyAlignment="1" applyProtection="1">
      <alignment horizontal="center" vertical="center"/>
      <protection locked="0"/>
    </xf>
    <xf numFmtId="194" fontId="7" fillId="0" borderId="0" xfId="2029" applyNumberFormat="1" applyFont="1" applyFill="1" applyBorder="1" applyAlignment="1" applyProtection="1">
      <alignment horizontal="center" vertical="center"/>
    </xf>
    <xf numFmtId="180" fontId="7" fillId="0" borderId="0" xfId="2029" applyNumberFormat="1" applyFont="1" applyFill="1" applyBorder="1" applyAlignment="1" applyProtection="1">
      <alignment horizontal="center" vertical="center" wrapText="1"/>
      <protection locked="0"/>
    </xf>
    <xf numFmtId="196" fontId="7" fillId="0" borderId="4" xfId="2029" applyNumberFormat="1" applyFont="1" applyFill="1" applyBorder="1" applyAlignment="1" applyProtection="1">
      <alignment horizontal="center" vertical="center"/>
    </xf>
    <xf numFmtId="188" fontId="7" fillId="0" borderId="4" xfId="2029" applyNumberFormat="1" applyFont="1" applyFill="1" applyBorder="1" applyAlignment="1" applyProtection="1">
      <alignment horizontal="center" vertical="center"/>
    </xf>
    <xf numFmtId="188" fontId="7" fillId="0" borderId="0" xfId="2029" applyNumberFormat="1" applyFont="1" applyFill="1" applyBorder="1" applyAlignment="1" applyProtection="1">
      <alignment horizontal="center" vertical="center"/>
    </xf>
    <xf numFmtId="180" fontId="7" fillId="0" borderId="0" xfId="2029" applyNumberFormat="1" applyFont="1" applyFill="1" applyBorder="1" applyAlignment="1" applyProtection="1">
      <alignment vertical="center" wrapText="1"/>
      <protection locked="0"/>
    </xf>
    <xf numFmtId="188" fontId="0" fillId="0" borderId="4" xfId="0" applyNumberFormat="1" applyBorder="1"/>
    <xf numFmtId="188" fontId="0" fillId="0" borderId="0" xfId="0" applyNumberFormat="1"/>
    <xf numFmtId="188" fontId="44" fillId="0" borderId="4" xfId="2029" applyNumberFormat="1" applyFont="1" applyFill="1" applyBorder="1" applyAlignment="1" applyProtection="1">
      <alignment horizontal="center" vertical="center"/>
    </xf>
    <xf numFmtId="188" fontId="44" fillId="0" borderId="0" xfId="2029" applyNumberFormat="1" applyFont="1" applyFill="1" applyBorder="1" applyAlignment="1" applyProtection="1">
      <alignment horizontal="center" vertical="center"/>
    </xf>
    <xf numFmtId="0" fontId="10" fillId="0" borderId="0" xfId="2106" applyFont="1" applyFill="1" applyBorder="1" applyAlignment="1"/>
    <xf numFmtId="180" fontId="7" fillId="0" borderId="0" xfId="2029" applyNumberFormat="1" applyFont="1" applyFill="1" applyBorder="1" applyAlignment="1" applyProtection="1">
      <alignment vertical="center"/>
      <protection locked="0"/>
    </xf>
    <xf numFmtId="188" fontId="44" fillId="0" borderId="4" xfId="2029" applyNumberFormat="1" applyFont="1" applyFill="1" applyBorder="1" applyAlignment="1" applyProtection="1">
      <alignment horizontal="center" vertical="center"/>
      <protection locked="0"/>
    </xf>
    <xf numFmtId="188" fontId="44" fillId="0" borderId="0" xfId="2029" applyNumberFormat="1" applyFont="1" applyFill="1" applyBorder="1" applyAlignment="1" applyProtection="1">
      <alignment horizontal="center" vertical="center"/>
      <protection locked="0"/>
    </xf>
    <xf numFmtId="188" fontId="7" fillId="0" borderId="4" xfId="2029" applyNumberFormat="1" applyFont="1" applyFill="1" applyBorder="1" applyAlignment="1" applyProtection="1">
      <alignment horizontal="center" vertical="center" shrinkToFit="1"/>
    </xf>
    <xf numFmtId="188" fontId="7" fillId="0" borderId="0" xfId="2029" applyNumberFormat="1" applyFont="1" applyFill="1" applyBorder="1" applyAlignment="1" applyProtection="1">
      <alignment horizontal="center" vertical="center" shrinkToFit="1"/>
    </xf>
    <xf numFmtId="184" fontId="7" fillId="0" borderId="4" xfId="2029" applyNumberFormat="1" applyFont="1" applyFill="1" applyBorder="1" applyAlignment="1" applyProtection="1">
      <alignment horizontal="center" vertical="center"/>
    </xf>
    <xf numFmtId="188" fontId="5" fillId="0" borderId="0" xfId="2106" applyNumberFormat="1" applyFont="1" applyFill="1" applyBorder="1" applyAlignment="1">
      <alignment horizontal="center"/>
    </xf>
    <xf numFmtId="193" fontId="7" fillId="0" borderId="31" xfId="2029" applyNumberFormat="1" applyFont="1" applyFill="1" applyBorder="1" applyAlignment="1" applyProtection="1">
      <alignment horizontal="center" vertical="center"/>
      <protection locked="0"/>
    </xf>
    <xf numFmtId="193" fontId="49" fillId="0" borderId="31" xfId="2029" applyNumberFormat="1" applyFont="1" applyFill="1" applyBorder="1" applyAlignment="1" applyProtection="1">
      <alignment horizontal="center" vertical="center"/>
      <protection locked="0"/>
    </xf>
    <xf numFmtId="180" fontId="7" fillId="0" borderId="31" xfId="2029" applyNumberFormat="1" applyFont="1" applyFill="1" applyBorder="1" applyAlignment="1" applyProtection="1">
      <alignment horizontal="center" vertical="center"/>
      <protection locked="0"/>
    </xf>
    <xf numFmtId="193" fontId="7" fillId="0" borderId="35" xfId="2029" applyNumberFormat="1" applyFont="1" applyFill="1" applyBorder="1" applyAlignment="1" applyProtection="1">
      <alignment horizontal="center" vertical="center"/>
      <protection locked="0"/>
    </xf>
    <xf numFmtId="194" fontId="7" fillId="0" borderId="0" xfId="2029" applyNumberFormat="1" applyFont="1" applyFill="1" applyBorder="1" applyAlignment="1" applyProtection="1">
      <alignment horizontal="center" vertical="center" wrapText="1"/>
    </xf>
    <xf numFmtId="194" fontId="46" fillId="0" borderId="0" xfId="2106" applyNumberFormat="1" applyFont="1" applyFill="1" applyBorder="1" applyAlignment="1">
      <alignment horizontal="center"/>
    </xf>
    <xf numFmtId="187" fontId="46" fillId="0" borderId="0" xfId="2106" applyNumberFormat="1" applyFont="1" applyFill="1" applyBorder="1" applyAlignment="1">
      <alignment horizontal="center"/>
    </xf>
    <xf numFmtId="0" fontId="50" fillId="0" borderId="0" xfId="2658" applyFont="1" applyFill="1" applyAlignment="1" applyProtection="1">
      <alignment horizontal="center" vertical="center" wrapText="1"/>
      <protection locked="0"/>
    </xf>
    <xf numFmtId="0" fontId="3" fillId="0" borderId="0" xfId="2720" applyFont="1" applyFill="1" applyBorder="1" applyAlignment="1" applyProtection="1">
      <alignment horizontal="center" vertical="center"/>
      <protection locked="0"/>
    </xf>
    <xf numFmtId="0" fontId="4" fillId="0" borderId="4" xfId="2658" applyFont="1" applyFill="1" applyBorder="1" applyAlignment="1" applyProtection="1">
      <alignment horizontal="center" vertical="center"/>
      <protection hidden="1"/>
    </xf>
    <xf numFmtId="0" fontId="4" fillId="0" borderId="4" xfId="2658" applyFont="1" applyFill="1" applyBorder="1" applyAlignment="1" applyProtection="1">
      <alignment horizontal="center" vertical="center" wrapText="1"/>
      <protection hidden="1"/>
    </xf>
    <xf numFmtId="1" fontId="3" fillId="0" borderId="4" xfId="2658" applyNumberFormat="1" applyFont="1" applyFill="1" applyBorder="1" applyAlignment="1" applyProtection="1">
      <alignment horizontal="center" vertical="center"/>
      <protection hidden="1"/>
    </xf>
    <xf numFmtId="0" fontId="3" fillId="0" borderId="0" xfId="2720" applyFont="1" applyFill="1" applyBorder="1" applyAlignment="1" applyProtection="1">
      <alignment horizontal="center" vertical="center" wrapText="1"/>
      <protection locked="0"/>
    </xf>
    <xf numFmtId="0" fontId="4" fillId="0" borderId="0" xfId="2658" applyFont="1" applyFill="1" applyBorder="1" applyAlignment="1" applyProtection="1">
      <alignment horizontal="center" vertical="center"/>
      <protection locked="0"/>
    </xf>
    <xf numFmtId="0" fontId="4" fillId="0" borderId="6" xfId="2658" applyFont="1" applyFill="1" applyBorder="1" applyAlignment="1" applyProtection="1">
      <alignment horizontal="center" vertical="center"/>
      <protection hidden="1"/>
    </xf>
    <xf numFmtId="0" fontId="4" fillId="0" borderId="6" xfId="2658" applyFont="1" applyFill="1" applyBorder="1" applyAlignment="1" applyProtection="1">
      <alignment horizontal="left" vertical="center" wrapText="1"/>
      <protection hidden="1"/>
    </xf>
    <xf numFmtId="184" fontId="3" fillId="0" borderId="6" xfId="2658" applyNumberFormat="1" applyFont="1" applyFill="1" applyBorder="1" applyAlignment="1" applyProtection="1">
      <alignment horizontal="center" vertical="center"/>
      <protection hidden="1"/>
    </xf>
    <xf numFmtId="0" fontId="3" fillId="0" borderId="6" xfId="2658" applyFont="1" applyFill="1" applyBorder="1" applyAlignment="1" applyProtection="1">
      <alignment horizontal="left" vertical="center" wrapText="1"/>
      <protection hidden="1"/>
    </xf>
    <xf numFmtId="1" fontId="3" fillId="0" borderId="6" xfId="2658" applyNumberFormat="1" applyFont="1" applyFill="1" applyBorder="1" applyAlignment="1" applyProtection="1">
      <alignment horizontal="left" vertical="center" wrapText="1"/>
      <protection hidden="1"/>
    </xf>
    <xf numFmtId="184" fontId="4" fillId="0" borderId="6" xfId="2658" applyNumberFormat="1" applyFont="1" applyFill="1" applyBorder="1" applyAlignment="1" applyProtection="1">
      <alignment horizontal="center" vertical="center"/>
      <protection hidden="1"/>
    </xf>
    <xf numFmtId="0" fontId="4" fillId="0" borderId="0" xfId="2658" applyFont="1" applyFill="1" applyBorder="1" applyAlignment="1" applyProtection="1">
      <alignment horizontal="center" vertical="center" wrapText="1"/>
      <protection locked="0"/>
    </xf>
    <xf numFmtId="1" fontId="3" fillId="0" borderId="6" xfId="2658" applyNumberFormat="1" applyFont="1" applyFill="1" applyBorder="1" applyAlignment="1" applyProtection="1">
      <alignment horizontal="center" vertical="center"/>
      <protection hidden="1"/>
    </xf>
    <xf numFmtId="187" fontId="4" fillId="0" borderId="6" xfId="2658" applyNumberFormat="1" applyFont="1" applyFill="1" applyBorder="1" applyAlignment="1" applyProtection="1">
      <alignment horizontal="center" vertical="center"/>
      <protection hidden="1"/>
    </xf>
    <xf numFmtId="187" fontId="3" fillId="0" borderId="6" xfId="2658" applyNumberFormat="1" applyFont="1" applyFill="1" applyBorder="1" applyAlignment="1" applyProtection="1">
      <alignment horizontal="center" vertical="center"/>
      <protection hidden="1"/>
    </xf>
    <xf numFmtId="0" fontId="4" fillId="0" borderId="6" xfId="2658" applyNumberFormat="1" applyFont="1" applyFill="1" applyBorder="1" applyAlignment="1" applyProtection="1">
      <alignment horizontal="center" vertical="center"/>
      <protection hidden="1"/>
    </xf>
    <xf numFmtId="0" fontId="3" fillId="0" borderId="4" xfId="2658" applyFont="1" applyFill="1" applyBorder="1" applyAlignment="1" applyProtection="1">
      <alignment horizontal="center" vertical="center"/>
      <protection hidden="1"/>
    </xf>
    <xf numFmtId="0" fontId="3" fillId="0" borderId="6" xfId="2658" applyFont="1" applyFill="1" applyBorder="1" applyAlignment="1" applyProtection="1">
      <alignment horizontal="center" vertical="center"/>
      <protection hidden="1"/>
    </xf>
    <xf numFmtId="0" fontId="3" fillId="0" borderId="0" xfId="2720" applyFont="1" applyFill="1" applyBorder="1" applyAlignment="1" applyProtection="1">
      <alignment horizontal="left" vertical="center" wrapText="1"/>
      <protection locked="0"/>
    </xf>
    <xf numFmtId="0" fontId="4" fillId="0" borderId="6" xfId="2658" applyFont="1" applyFill="1" applyBorder="1" applyAlignment="1" applyProtection="1">
      <alignment horizontal="left" vertical="center"/>
      <protection hidden="1"/>
    </xf>
    <xf numFmtId="0" fontId="3" fillId="0" borderId="6" xfId="2658" applyFont="1" applyFill="1" applyBorder="1" applyAlignment="1" applyProtection="1">
      <alignment horizontal="left" vertical="center"/>
      <protection hidden="1"/>
    </xf>
    <xf numFmtId="1" fontId="3" fillId="0" borderId="6" xfId="2658" applyNumberFormat="1" applyFont="1" applyFill="1" applyBorder="1" applyAlignment="1" applyProtection="1">
      <alignment horizontal="left" vertical="center"/>
      <protection hidden="1"/>
    </xf>
    <xf numFmtId="0" fontId="3" fillId="0" borderId="0" xfId="2720" applyFont="1" applyFill="1" applyBorder="1" applyAlignment="1" applyProtection="1">
      <alignment vertical="center" wrapText="1"/>
      <protection locked="0"/>
    </xf>
    <xf numFmtId="1" fontId="3" fillId="0" borderId="4" xfId="2658" applyNumberFormat="1" applyFont="1" applyFill="1" applyBorder="1" applyAlignment="1" applyProtection="1">
      <alignment horizontal="center" vertical="center" wrapText="1"/>
      <protection hidden="1"/>
    </xf>
    <xf numFmtId="0" fontId="3" fillId="0" borderId="4" xfId="2658" applyFont="1" applyFill="1" applyBorder="1" applyAlignment="1" applyProtection="1">
      <alignment horizontal="center" vertical="center" wrapText="1"/>
      <protection hidden="1"/>
    </xf>
    <xf numFmtId="0" fontId="4" fillId="0" borderId="6" xfId="2658" applyFont="1" applyFill="1" applyBorder="1" applyAlignment="1" applyProtection="1">
      <alignment horizontal="center" vertical="center" wrapText="1"/>
      <protection hidden="1"/>
    </xf>
    <xf numFmtId="187" fontId="3" fillId="0" borderId="4" xfId="2658" applyNumberFormat="1" applyFont="1" applyFill="1" applyBorder="1" applyAlignment="1" applyProtection="1">
      <alignment horizontal="center" vertical="center" wrapText="1"/>
      <protection locked="0"/>
    </xf>
    <xf numFmtId="0" fontId="50" fillId="0" borderId="0" xfId="2658" applyFont="1" applyFill="1" applyAlignment="1" applyProtection="1">
      <alignment vertical="center" wrapText="1"/>
      <protection locked="0"/>
    </xf>
    <xf numFmtId="10" fontId="0" fillId="0" borderId="0" xfId="72" applyNumberFormat="1" applyFont="1" applyAlignment="1"/>
    <xf numFmtId="0" fontId="3" fillId="0" borderId="0" xfId="2030" applyFont="1" applyFill="1" applyBorder="1" applyAlignment="1">
      <alignment horizontal="center" vertical="center"/>
    </xf>
    <xf numFmtId="182" fontId="3" fillId="0" borderId="0" xfId="324" applyNumberFormat="1" applyFont="1" applyBorder="1" applyAlignment="1">
      <alignment horizontal="center" vertical="center"/>
    </xf>
    <xf numFmtId="10" fontId="3" fillId="0" borderId="0" xfId="324" applyNumberFormat="1" applyFont="1" applyBorder="1" applyAlignment="1">
      <alignment horizontal="center" vertical="center"/>
    </xf>
    <xf numFmtId="0" fontId="3" fillId="0" borderId="4" xfId="2030" applyFont="1" applyFill="1" applyBorder="1" applyAlignment="1">
      <alignment horizontal="center" vertical="center" wrapText="1"/>
    </xf>
    <xf numFmtId="43" fontId="3" fillId="0" borderId="4" xfId="35" applyFont="1" applyBorder="1" applyAlignment="1">
      <alignment horizontal="center" vertical="center" wrapText="1"/>
    </xf>
    <xf numFmtId="43" fontId="3" fillId="0" borderId="4" xfId="35" applyFont="1" applyFill="1" applyBorder="1" applyAlignment="1">
      <alignment horizontal="center" vertical="center" wrapText="1"/>
    </xf>
    <xf numFmtId="43" fontId="3" fillId="6" borderId="4" xfId="35" applyFont="1" applyFill="1" applyBorder="1" applyAlignment="1">
      <alignment horizontal="center" vertical="center" wrapText="1"/>
    </xf>
    <xf numFmtId="10" fontId="3" fillId="0" borderId="4" xfId="35" applyNumberFormat="1" applyFont="1" applyBorder="1" applyAlignment="1">
      <alignment horizontal="center" vertical="center" wrapText="1"/>
    </xf>
    <xf numFmtId="0" fontId="4" fillId="0" borderId="4" xfId="2030" applyFont="1" applyFill="1" applyBorder="1" applyAlignment="1">
      <alignment horizontal="center" vertical="center" wrapText="1"/>
    </xf>
    <xf numFmtId="192" fontId="53" fillId="0" borderId="4" xfId="35" applyNumberFormat="1" applyFont="1" applyBorder="1" applyAlignment="1">
      <alignment horizontal="center" vertical="center" wrapText="1"/>
    </xf>
    <xf numFmtId="192" fontId="53" fillId="6" borderId="4" xfId="35" applyNumberFormat="1" applyFont="1" applyFill="1" applyBorder="1" applyAlignment="1">
      <alignment horizontal="center" vertical="center" wrapText="1"/>
    </xf>
    <xf numFmtId="10" fontId="4" fillId="0" borderId="4" xfId="35" applyNumberFormat="1" applyFont="1" applyBorder="1" applyAlignment="1">
      <alignment horizontal="center" vertical="center" wrapText="1"/>
    </xf>
    <xf numFmtId="192" fontId="20" fillId="0" borderId="4" xfId="35" applyNumberFormat="1" applyFont="1" applyBorder="1" applyAlignment="1">
      <alignment horizontal="center" vertical="center" wrapText="1"/>
    </xf>
    <xf numFmtId="192" fontId="20" fillId="0" borderId="4" xfId="35" applyNumberFormat="1" applyFont="1" applyFill="1" applyBorder="1" applyAlignment="1">
      <alignment horizontal="center" vertical="center" wrapText="1"/>
    </xf>
    <xf numFmtId="192" fontId="20" fillId="6" borderId="4" xfId="35" applyNumberFormat="1" applyFont="1" applyFill="1" applyBorder="1" applyAlignment="1">
      <alignment horizontal="center" vertical="center" wrapText="1"/>
    </xf>
    <xf numFmtId="192" fontId="53" fillId="0" borderId="4" xfId="35" applyNumberFormat="1" applyFont="1" applyFill="1" applyBorder="1" applyAlignment="1">
      <alignment horizontal="center" vertical="center" wrapText="1"/>
    </xf>
    <xf numFmtId="10" fontId="4" fillId="6" borderId="4" xfId="35" applyNumberFormat="1" applyFont="1" applyFill="1" applyBorder="1" applyAlignment="1">
      <alignment horizontal="center" vertical="center" wrapText="1"/>
    </xf>
    <xf numFmtId="177" fontId="10" fillId="0" borderId="0" xfId="2030" applyNumberFormat="1" applyFont="1" applyFill="1"/>
    <xf numFmtId="49" fontId="3" fillId="0" borderId="0" xfId="2030" applyNumberFormat="1" applyFont="1" applyFill="1" applyBorder="1" applyAlignment="1">
      <alignment horizontal="center" vertical="center"/>
    </xf>
    <xf numFmtId="10" fontId="3" fillId="0" borderId="4" xfId="35" applyNumberFormat="1" applyFont="1" applyFill="1" applyBorder="1" applyAlignment="1">
      <alignment horizontal="center" vertical="center" wrapText="1"/>
    </xf>
    <xf numFmtId="10" fontId="4" fillId="0" borderId="4" xfId="35" applyNumberFormat="1" applyFont="1" applyFill="1" applyBorder="1" applyAlignment="1">
      <alignment horizontal="center" vertical="center" wrapText="1"/>
    </xf>
    <xf numFmtId="0" fontId="4" fillId="0" borderId="4" xfId="2030" applyFont="1" applyFill="1" applyBorder="1" applyAlignment="1">
      <alignment horizontal="center"/>
    </xf>
    <xf numFmtId="194" fontId="4" fillId="0" borderId="4" xfId="35" applyNumberFormat="1" applyFont="1" applyBorder="1" applyAlignment="1">
      <alignment horizontal="center" vertical="center" wrapText="1"/>
    </xf>
    <xf numFmtId="0" fontId="10" fillId="0" borderId="0" xfId="2030" applyFont="1" applyFill="1"/>
    <xf numFmtId="0" fontId="3" fillId="0" borderId="4" xfId="2030" applyFont="1" applyFill="1" applyBorder="1" applyAlignment="1">
      <alignment horizontal="center"/>
    </xf>
    <xf numFmtId="10" fontId="4" fillId="0" borderId="4" xfId="2030" applyNumberFormat="1" applyFont="1" applyFill="1" applyBorder="1" applyAlignment="1">
      <alignment horizontal="center" vertical="center" wrapText="1"/>
    </xf>
    <xf numFmtId="194" fontId="3" fillId="0" borderId="4" xfId="2658" applyNumberFormat="1" applyFont="1" applyFill="1" applyBorder="1" applyAlignment="1" applyProtection="1">
      <alignment horizontal="center" vertical="center" wrapText="1"/>
      <protection hidden="1"/>
    </xf>
    <xf numFmtId="194" fontId="4" fillId="0" borderId="6" xfId="2658" applyNumberFormat="1" applyFont="1" applyFill="1" applyBorder="1" applyAlignment="1" applyProtection="1">
      <alignment horizontal="center" vertical="center" wrapText="1"/>
      <protection hidden="1"/>
    </xf>
    <xf numFmtId="194" fontId="39" fillId="0" borderId="29" xfId="2658" applyNumberFormat="1" applyFont="1" applyFill="1" applyBorder="1" applyAlignment="1" applyProtection="1">
      <alignment horizontal="center" vertical="center" wrapText="1"/>
      <protection hidden="1"/>
    </xf>
    <xf numFmtId="194" fontId="39" fillId="0" borderId="40" xfId="2658" applyNumberFormat="1" applyFont="1" applyFill="1" applyBorder="1" applyAlignment="1" applyProtection="1">
      <alignment horizontal="center" vertical="center" wrapText="1"/>
      <protection hidden="1"/>
    </xf>
    <xf numFmtId="194" fontId="39" fillId="0" borderId="40" xfId="2658" applyNumberFormat="1" applyFont="1" applyFill="1" applyBorder="1" applyAlignment="1" applyProtection="1">
      <alignment horizontal="left" vertical="center" wrapText="1"/>
      <protection hidden="1"/>
    </xf>
    <xf numFmtId="194" fontId="39" fillId="0" borderId="29" xfId="2658" applyNumberFormat="1" applyFont="1" applyFill="1" applyBorder="1" applyAlignment="1" applyProtection="1">
      <alignment horizontal="center" vertical="center"/>
      <protection hidden="1"/>
    </xf>
    <xf numFmtId="194" fontId="39" fillId="0" borderId="40" xfId="2658" applyNumberFormat="1" applyFont="1" applyFill="1" applyBorder="1" applyAlignment="1" applyProtection="1">
      <alignment horizontal="left" vertical="center"/>
      <protection hidden="1"/>
    </xf>
    <xf numFmtId="0" fontId="39" fillId="0" borderId="0" xfId="2658" applyFont="1" applyFill="1" applyBorder="1" applyAlignment="1" applyProtection="1">
      <alignment horizontal="center" vertical="center"/>
      <protection locked="0"/>
    </xf>
    <xf numFmtId="0" fontId="52" fillId="0" borderId="0" xfId="2030" applyFont="1" applyFill="1" applyBorder="1" applyAlignment="1">
      <alignment horizontal="center" vertical="center"/>
    </xf>
    <xf numFmtId="0" fontId="52" fillId="5" borderId="0" xfId="2030" applyFont="1" applyBorder="1" applyAlignment="1">
      <alignment horizontal="center" vertical="center"/>
    </xf>
    <xf numFmtId="0" fontId="3" fillId="0" borderId="6" xfId="2030" applyFont="1" applyFill="1" applyBorder="1" applyAlignment="1">
      <alignment horizontal="center" vertical="center" wrapText="1"/>
    </xf>
    <xf numFmtId="0" fontId="3" fillId="0" borderId="8" xfId="2030" applyFont="1" applyFill="1" applyBorder="1" applyAlignment="1">
      <alignment horizontal="center" vertical="center" wrapText="1"/>
    </xf>
    <xf numFmtId="0" fontId="4" fillId="0" borderId="6" xfId="2030" applyFont="1" applyFill="1" applyBorder="1" applyAlignment="1">
      <alignment horizontal="center" vertical="center" wrapText="1"/>
    </xf>
    <xf numFmtId="0" fontId="4" fillId="0" borderId="8" xfId="2030" applyFont="1" applyFill="1" applyBorder="1" applyAlignment="1">
      <alignment horizontal="center" vertical="center" wrapText="1"/>
    </xf>
    <xf numFmtId="0" fontId="4" fillId="0" borderId="7" xfId="2030" applyFont="1" applyFill="1" applyBorder="1" applyAlignment="1">
      <alignment horizontal="center" vertical="center" wrapText="1"/>
    </xf>
    <xf numFmtId="0" fontId="3" fillId="0" borderId="9" xfId="2030" applyFont="1" applyFill="1" applyBorder="1" applyAlignment="1">
      <alignment horizontal="center" vertical="center" wrapText="1"/>
    </xf>
    <xf numFmtId="0" fontId="3" fillId="0" borderId="2" xfId="2030" applyFont="1" applyFill="1" applyBorder="1" applyAlignment="1">
      <alignment horizontal="center" vertical="center" wrapText="1"/>
    </xf>
    <xf numFmtId="0" fontId="3" fillId="0" borderId="10" xfId="2030" applyFont="1" applyFill="1" applyBorder="1" applyAlignment="1">
      <alignment horizontal="center" vertical="center" wrapText="1"/>
    </xf>
    <xf numFmtId="192" fontId="20" fillId="0" borderId="9" xfId="35" applyNumberFormat="1" applyFont="1" applyFill="1" applyBorder="1" applyAlignment="1">
      <alignment horizontal="center" vertical="center" wrapText="1"/>
    </xf>
    <xf numFmtId="192" fontId="20" fillId="0" borderId="2" xfId="35" applyNumberFormat="1" applyFont="1" applyFill="1" applyBorder="1" applyAlignment="1">
      <alignment horizontal="center" vertical="center" wrapText="1"/>
    </xf>
    <xf numFmtId="192" fontId="20" fillId="6" borderId="9" xfId="35" applyNumberFormat="1" applyFont="1" applyFill="1" applyBorder="1" applyAlignment="1">
      <alignment horizontal="center" vertical="center" wrapText="1"/>
    </xf>
    <xf numFmtId="192" fontId="20" fillId="6" borderId="2" xfId="35" applyNumberFormat="1" applyFont="1" applyFill="1" applyBorder="1" applyAlignment="1">
      <alignment horizontal="center" vertical="center" wrapText="1"/>
    </xf>
    <xf numFmtId="10" fontId="3" fillId="0" borderId="9" xfId="35" applyNumberFormat="1" applyFont="1" applyBorder="1" applyAlignment="1">
      <alignment horizontal="center" vertical="center" wrapText="1"/>
    </xf>
    <xf numFmtId="10" fontId="3" fillId="0" borderId="2" xfId="35" applyNumberFormat="1" applyFont="1" applyBorder="1" applyAlignment="1">
      <alignment horizontal="center" vertical="center" wrapText="1"/>
    </xf>
    <xf numFmtId="10" fontId="3" fillId="0" borderId="9" xfId="35" applyNumberFormat="1" applyFont="1" applyFill="1" applyBorder="1" applyAlignment="1">
      <alignment horizontal="center" vertical="center" wrapText="1"/>
    </xf>
    <xf numFmtId="10" fontId="3" fillId="0" borderId="2" xfId="35" applyNumberFormat="1" applyFont="1" applyFill="1" applyBorder="1" applyAlignment="1">
      <alignment horizontal="center" vertical="center" wrapText="1"/>
    </xf>
    <xf numFmtId="0" fontId="4" fillId="0" borderId="36" xfId="2658" applyFont="1" applyFill="1" applyBorder="1" applyAlignment="1" applyProtection="1">
      <alignment horizontal="center" vertical="center" wrapText="1"/>
      <protection hidden="1"/>
    </xf>
    <xf numFmtId="0" fontId="4" fillId="0" borderId="20" xfId="2658" applyFont="1" applyFill="1" applyBorder="1" applyAlignment="1" applyProtection="1">
      <alignment horizontal="center" vertical="center" wrapText="1"/>
      <protection hidden="1"/>
    </xf>
    <xf numFmtId="0" fontId="4" fillId="0" borderId="37" xfId="2658" applyFont="1" applyFill="1" applyBorder="1" applyAlignment="1" applyProtection="1">
      <alignment horizontal="center" vertical="center" wrapText="1"/>
      <protection hidden="1"/>
    </xf>
    <xf numFmtId="0" fontId="4" fillId="0" borderId="4" xfId="2658" applyFont="1" applyFill="1" applyBorder="1" applyAlignment="1" applyProtection="1">
      <alignment horizontal="center" vertical="center" wrapText="1"/>
      <protection hidden="1"/>
    </xf>
    <xf numFmtId="0" fontId="4" fillId="0" borderId="39" xfId="2658" applyFont="1" applyFill="1" applyBorder="1" applyAlignment="1" applyProtection="1">
      <alignment horizontal="center" vertical="center" wrapText="1"/>
      <protection hidden="1"/>
    </xf>
    <xf numFmtId="0" fontId="4" fillId="0" borderId="31" xfId="2658" applyFont="1" applyFill="1" applyBorder="1" applyAlignment="1" applyProtection="1">
      <alignment horizontal="center" vertical="center" wrapText="1"/>
      <protection hidden="1"/>
    </xf>
    <xf numFmtId="0" fontId="4" fillId="0" borderId="38" xfId="2658" applyNumberFormat="1" applyFont="1" applyFill="1" applyBorder="1" applyAlignment="1" applyProtection="1">
      <alignment horizontal="center" vertical="center" wrapText="1"/>
      <protection hidden="1"/>
    </xf>
    <xf numFmtId="0" fontId="4" fillId="0" borderId="2" xfId="2658" applyFont="1" applyFill="1" applyBorder="1" applyAlignment="1" applyProtection="1">
      <alignment horizontal="center" vertical="center" wrapText="1"/>
      <protection hidden="1"/>
    </xf>
    <xf numFmtId="0" fontId="4" fillId="0" borderId="38" xfId="2658" applyFont="1" applyFill="1" applyBorder="1" applyAlignment="1" applyProtection="1">
      <alignment horizontal="center" vertical="center" wrapText="1"/>
      <protection hidden="1"/>
    </xf>
    <xf numFmtId="0" fontId="4" fillId="0" borderId="36" xfId="2658" applyFont="1" applyFill="1" applyBorder="1" applyAlignment="1" applyProtection="1">
      <alignment horizontal="center" vertical="center"/>
      <protection hidden="1"/>
    </xf>
    <xf numFmtId="0" fontId="4" fillId="0" borderId="20" xfId="2658" applyFont="1" applyFill="1" applyBorder="1" applyAlignment="1" applyProtection="1">
      <alignment horizontal="center" vertical="center"/>
      <protection hidden="1"/>
    </xf>
    <xf numFmtId="0" fontId="4" fillId="0" borderId="37" xfId="2658" applyFont="1" applyFill="1" applyBorder="1" applyAlignment="1" applyProtection="1">
      <alignment horizontal="center" vertical="center"/>
      <protection hidden="1"/>
    </xf>
    <xf numFmtId="0" fontId="4" fillId="0" borderId="4" xfId="2658" applyFont="1" applyFill="1" applyBorder="1" applyAlignment="1" applyProtection="1">
      <alignment horizontal="center" vertical="center"/>
      <protection hidden="1"/>
    </xf>
    <xf numFmtId="180" fontId="39" fillId="0" borderId="5" xfId="2029" applyNumberFormat="1" applyFont="1" applyFill="1" applyBorder="1" applyAlignment="1" applyProtection="1">
      <alignment horizontal="center" vertical="center"/>
      <protection locked="0"/>
    </xf>
    <xf numFmtId="180" fontId="12" fillId="0" borderId="6" xfId="2029" applyNumberFormat="1" applyFont="1" applyFill="1" applyBorder="1" applyAlignment="1" applyProtection="1">
      <alignment horizontal="center" vertical="center"/>
      <protection locked="0"/>
    </xf>
    <xf numFmtId="180" fontId="12" fillId="0" borderId="7" xfId="2029" applyNumberFormat="1" applyFont="1" applyFill="1" applyBorder="1" applyAlignment="1" applyProtection="1">
      <alignment horizontal="center" vertical="center"/>
      <protection locked="0"/>
    </xf>
    <xf numFmtId="180" fontId="12" fillId="0" borderId="8" xfId="2029" applyNumberFormat="1" applyFont="1" applyFill="1" applyBorder="1" applyAlignment="1" applyProtection="1">
      <alignment horizontal="center" vertical="center"/>
      <protection locked="0"/>
    </xf>
    <xf numFmtId="180" fontId="40" fillId="0" borderId="4" xfId="2029" applyNumberFormat="1" applyFont="1" applyFill="1" applyBorder="1" applyAlignment="1" applyProtection="1">
      <alignment horizontal="center" vertical="center"/>
      <protection locked="0"/>
    </xf>
    <xf numFmtId="180" fontId="39" fillId="0" borderId="18" xfId="2029" applyNumberFormat="1" applyFont="1" applyFill="1" applyBorder="1" applyAlignment="1" applyProtection="1">
      <alignment horizontal="center" vertical="center"/>
      <protection locked="0"/>
    </xf>
    <xf numFmtId="180" fontId="39" fillId="0" borderId="19" xfId="2029" applyNumberFormat="1" applyFont="1" applyFill="1" applyBorder="1" applyAlignment="1" applyProtection="1">
      <alignment horizontal="center" vertical="center"/>
      <protection locked="0"/>
    </xf>
    <xf numFmtId="180" fontId="39" fillId="0" borderId="30" xfId="2029" applyNumberFormat="1" applyFont="1" applyFill="1" applyBorder="1" applyAlignment="1" applyProtection="1">
      <alignment horizontal="center" vertical="center"/>
      <protection locked="0"/>
    </xf>
    <xf numFmtId="180" fontId="7" fillId="0" borderId="20" xfId="2029" applyNumberFormat="1" applyFont="1" applyFill="1" applyBorder="1" applyAlignment="1" applyProtection="1">
      <alignment horizontal="center" vertical="center"/>
      <protection locked="0"/>
    </xf>
    <xf numFmtId="180" fontId="7" fillId="0" borderId="4" xfId="2029" applyNumberFormat="1" applyFont="1" applyFill="1" applyBorder="1" applyAlignment="1" applyProtection="1">
      <alignment horizontal="center" vertical="center"/>
      <protection locked="0"/>
    </xf>
    <xf numFmtId="180" fontId="40" fillId="0" borderId="9" xfId="2029" applyNumberFormat="1" applyFont="1" applyFill="1" applyBorder="1" applyAlignment="1" applyProtection="1">
      <alignment horizontal="center" vertical="center"/>
      <protection locked="0"/>
    </xf>
    <xf numFmtId="180" fontId="40" fillId="0" borderId="2" xfId="2029" applyNumberFormat="1" applyFont="1" applyFill="1" applyBorder="1" applyAlignment="1" applyProtection="1">
      <alignment horizontal="center" vertical="center"/>
      <protection locked="0"/>
    </xf>
    <xf numFmtId="180" fontId="40" fillId="0" borderId="4" xfId="2029" applyNumberFormat="1" applyFont="1" applyFill="1" applyBorder="1" applyAlignment="1" applyProtection="1">
      <alignment horizontal="center" vertical="center" wrapText="1"/>
      <protection locked="0"/>
    </xf>
    <xf numFmtId="180" fontId="42" fillId="0" borderId="5" xfId="2029" applyNumberFormat="1" applyFont="1" applyFill="1" applyBorder="1" applyAlignment="1" applyProtection="1">
      <alignment horizontal="center" vertical="center"/>
      <protection locked="0"/>
    </xf>
    <xf numFmtId="180" fontId="40" fillId="0" borderId="27" xfId="2029" applyNumberFormat="1" applyFont="1" applyFill="1" applyBorder="1" applyAlignment="1" applyProtection="1">
      <alignment horizontal="center" vertical="center"/>
      <protection locked="0"/>
    </xf>
    <xf numFmtId="180" fontId="40" fillId="0" borderId="34" xfId="2029" applyNumberFormat="1" applyFont="1" applyFill="1" applyBorder="1" applyAlignment="1" applyProtection="1">
      <alignment horizontal="center" vertical="center"/>
      <protection locked="0"/>
    </xf>
    <xf numFmtId="180" fontId="43" fillId="0" borderId="6" xfId="2029" applyNumberFormat="1" applyFont="1" applyFill="1" applyBorder="1" applyAlignment="1" applyProtection="1">
      <alignment horizontal="center" vertical="center" wrapText="1"/>
      <protection locked="0"/>
    </xf>
    <xf numFmtId="180" fontId="43" fillId="0" borderId="7" xfId="2029" applyNumberFormat="1" applyFont="1" applyFill="1" applyBorder="1" applyAlignment="1" applyProtection="1">
      <alignment horizontal="center" vertical="center" wrapText="1"/>
      <protection locked="0"/>
    </xf>
    <xf numFmtId="180" fontId="43" fillId="0" borderId="8" xfId="2029" applyNumberFormat="1" applyFont="1" applyFill="1" applyBorder="1" applyAlignment="1" applyProtection="1">
      <alignment horizontal="center" vertical="center" wrapText="1"/>
      <protection locked="0"/>
    </xf>
    <xf numFmtId="0" fontId="2" fillId="0" borderId="6" xfId="2106" applyFont="1" applyFill="1" applyBorder="1" applyAlignment="1">
      <alignment horizontal="center"/>
    </xf>
    <xf numFmtId="0" fontId="2" fillId="0" borderId="8" xfId="2106" applyFont="1" applyFill="1" applyBorder="1" applyAlignment="1">
      <alignment horizontal="center"/>
    </xf>
    <xf numFmtId="0" fontId="40" fillId="0" borderId="4" xfId="2029" applyNumberFormat="1" applyFont="1" applyFill="1" applyBorder="1" applyAlignment="1" applyProtection="1">
      <alignment horizontal="center" vertical="center"/>
      <protection locked="0"/>
    </xf>
    <xf numFmtId="180" fontId="43" fillId="0" borderId="9" xfId="2029" applyNumberFormat="1" applyFont="1" applyFill="1" applyBorder="1" applyAlignment="1" applyProtection="1">
      <alignment horizontal="center" vertical="center" wrapText="1"/>
      <protection locked="0"/>
    </xf>
    <xf numFmtId="180" fontId="43" fillId="0" borderId="2" xfId="2029" applyNumberFormat="1" applyFont="1" applyFill="1" applyBorder="1" applyAlignment="1" applyProtection="1">
      <alignment horizontal="center" vertical="center" wrapText="1"/>
      <protection locked="0"/>
    </xf>
    <xf numFmtId="180" fontId="40" fillId="0" borderId="9" xfId="2029" applyNumberFormat="1" applyFont="1" applyFill="1" applyBorder="1" applyAlignment="1" applyProtection="1">
      <alignment horizontal="center" vertical="center" wrapText="1"/>
      <protection locked="0"/>
    </xf>
    <xf numFmtId="180" fontId="40" fillId="0" borderId="10" xfId="2029" applyNumberFormat="1" applyFont="1" applyFill="1" applyBorder="1" applyAlignment="1" applyProtection="1">
      <alignment horizontal="center" vertical="center" wrapText="1"/>
      <protection locked="0"/>
    </xf>
    <xf numFmtId="180" fontId="40" fillId="0" borderId="2" xfId="2029" applyNumberFormat="1" applyFont="1" applyFill="1" applyBorder="1" applyAlignment="1" applyProtection="1">
      <alignment horizontal="center" vertical="center" wrapText="1"/>
      <protection locked="0"/>
    </xf>
    <xf numFmtId="180" fontId="40" fillId="0" borderId="12" xfId="2029" applyNumberFormat="1" applyFont="1" applyFill="1" applyBorder="1" applyAlignment="1" applyProtection="1">
      <alignment horizontal="center" vertical="center" wrapText="1"/>
      <protection locked="0"/>
    </xf>
    <xf numFmtId="180" fontId="40" fillId="0" borderId="17" xfId="2029" applyNumberFormat="1" applyFont="1" applyFill="1" applyBorder="1" applyAlignment="1" applyProtection="1">
      <alignment horizontal="center" vertical="center" wrapText="1"/>
      <protection locked="0"/>
    </xf>
    <xf numFmtId="180" fontId="40" fillId="0" borderId="3" xfId="2029" applyNumberFormat="1" applyFont="1" applyFill="1" applyBorder="1" applyAlignment="1" applyProtection="1">
      <alignment horizontal="center" vertical="center" wrapText="1"/>
      <protection locked="0"/>
    </xf>
    <xf numFmtId="180" fontId="7" fillId="0" borderId="23" xfId="2029" applyNumberFormat="1" applyFont="1" applyFill="1" applyBorder="1" applyAlignment="1" applyProtection="1">
      <alignment horizontal="center" vertical="center"/>
      <protection locked="0"/>
    </xf>
    <xf numFmtId="180" fontId="7" fillId="0" borderId="26" xfId="2029" applyNumberFormat="1" applyFont="1" applyFill="1" applyBorder="1" applyAlignment="1" applyProtection="1">
      <alignment horizontal="center" vertical="center"/>
      <protection locked="0"/>
    </xf>
    <xf numFmtId="193" fontId="7" fillId="0" borderId="32" xfId="2029" applyNumberFormat="1" applyFont="1" applyFill="1" applyBorder="1" applyAlignment="1" applyProtection="1">
      <alignment horizontal="center" vertical="center"/>
      <protection locked="0"/>
    </xf>
    <xf numFmtId="193" fontId="7" fillId="0" borderId="33" xfId="2029" applyNumberFormat="1" applyFont="1" applyFill="1" applyBorder="1" applyAlignment="1" applyProtection="1">
      <alignment horizontal="center" vertical="center"/>
      <protection locked="0"/>
    </xf>
    <xf numFmtId="180" fontId="7" fillId="0" borderId="21" xfId="2029" applyNumberFormat="1" applyFont="1" applyFill="1" applyBorder="1" applyAlignment="1" applyProtection="1">
      <alignment horizontal="center" vertical="center"/>
      <protection locked="0"/>
    </xf>
    <xf numFmtId="180" fontId="7" fillId="0" borderId="22" xfId="2029" applyNumberFormat="1" applyFont="1" applyFill="1" applyBorder="1" applyAlignment="1" applyProtection="1">
      <alignment horizontal="center" vertical="center"/>
      <protection locked="0"/>
    </xf>
    <xf numFmtId="180" fontId="7" fillId="0" borderId="24" xfId="2029" applyNumberFormat="1" applyFont="1" applyFill="1" applyBorder="1" applyAlignment="1" applyProtection="1">
      <alignment horizontal="center" vertical="center"/>
      <protection locked="0"/>
    </xf>
    <xf numFmtId="180" fontId="7" fillId="0" borderId="25" xfId="2029" applyNumberFormat="1" applyFont="1" applyFill="1" applyBorder="1" applyAlignment="1" applyProtection="1">
      <alignment horizontal="center" vertical="center"/>
      <protection locked="0"/>
    </xf>
    <xf numFmtId="0" fontId="2" fillId="0" borderId="4" xfId="2106" applyFont="1" applyFill="1" applyBorder="1" applyAlignment="1">
      <alignment horizontal="center" vertical="center"/>
    </xf>
    <xf numFmtId="180" fontId="7" fillId="0" borderId="28" xfId="2029" applyNumberFormat="1" applyFont="1" applyFill="1" applyBorder="1" applyAlignment="1" applyProtection="1">
      <alignment horizontal="center" vertical="center"/>
      <protection locked="0"/>
    </xf>
    <xf numFmtId="180" fontId="7" fillId="0" borderId="29" xfId="2029" applyNumberFormat="1" applyFont="1" applyFill="1" applyBorder="1" applyAlignment="1" applyProtection="1">
      <alignment horizontal="center" vertical="center"/>
      <protection locked="0"/>
    </xf>
    <xf numFmtId="180" fontId="39" fillId="0" borderId="0" xfId="2029" applyNumberFormat="1" applyFont="1" applyFill="1" applyBorder="1" applyAlignment="1" applyProtection="1">
      <alignment horizontal="center" vertical="center"/>
      <protection locked="0"/>
    </xf>
    <xf numFmtId="0" fontId="31" fillId="0" borderId="0" xfId="4094" applyFont="1" applyAlignment="1">
      <alignment horizontal="center" vertical="center"/>
    </xf>
    <xf numFmtId="0" fontId="33" fillId="0" borderId="5" xfId="4094" applyBorder="1" applyAlignment="1">
      <alignment horizontal="center" vertical="center"/>
    </xf>
    <xf numFmtId="0" fontId="34" fillId="0" borderId="4" xfId="4094" applyFont="1" applyBorder="1" applyAlignment="1">
      <alignment horizontal="center" vertical="center" wrapText="1"/>
    </xf>
    <xf numFmtId="0" fontId="34" fillId="0" borderId="9" xfId="4094" applyFont="1" applyBorder="1" applyAlignment="1">
      <alignment horizontal="center" vertical="center" wrapText="1"/>
    </xf>
    <xf numFmtId="0" fontId="34" fillId="0" borderId="10" xfId="4094" applyFont="1" applyBorder="1" applyAlignment="1">
      <alignment horizontal="center" vertical="center" wrapText="1"/>
    </xf>
    <xf numFmtId="0" fontId="34" fillId="0" borderId="2" xfId="4094" applyFont="1" applyBorder="1" applyAlignment="1">
      <alignment horizontal="center" vertical="center" wrapText="1"/>
    </xf>
    <xf numFmtId="0" fontId="3" fillId="0" borderId="9" xfId="4094" applyFont="1" applyBorder="1" applyAlignment="1">
      <alignment horizontal="center" vertical="center"/>
    </xf>
    <xf numFmtId="0" fontId="3" fillId="0" borderId="2" xfId="4094" applyFont="1" applyBorder="1" applyAlignment="1">
      <alignment horizontal="center" vertical="center"/>
    </xf>
    <xf numFmtId="0" fontId="34" fillId="0" borderId="6" xfId="4094" applyFont="1" applyBorder="1" applyAlignment="1">
      <alignment horizontal="center" vertical="center" wrapText="1"/>
    </xf>
    <xf numFmtId="0" fontId="34" fillId="0" borderId="8" xfId="4094" applyFont="1" applyBorder="1" applyAlignment="1">
      <alignment horizontal="center" vertical="center" wrapText="1"/>
    </xf>
    <xf numFmtId="0" fontId="23" fillId="0" borderId="4" xfId="4094" applyFont="1" applyBorder="1" applyAlignment="1">
      <alignment horizontal="center" vertical="center"/>
    </xf>
    <xf numFmtId="0" fontId="23" fillId="0" borderId="9" xfId="4094" applyFont="1" applyBorder="1" applyAlignment="1">
      <alignment horizontal="center" vertical="center"/>
    </xf>
    <xf numFmtId="0" fontId="23" fillId="0" borderId="2" xfId="4094" applyFont="1" applyBorder="1" applyAlignment="1">
      <alignment horizontal="center" vertical="center"/>
    </xf>
    <xf numFmtId="2" fontId="24" fillId="0" borderId="0" xfId="2568" applyFont="1" applyAlignment="1">
      <alignment horizontal="center" vertical="center"/>
    </xf>
    <xf numFmtId="2" fontId="25" fillId="0" borderId="4" xfId="2568" applyFont="1" applyBorder="1" applyAlignment="1">
      <alignment horizontal="center" vertical="center" wrapText="1"/>
    </xf>
    <xf numFmtId="43" fontId="25" fillId="0" borderId="9" xfId="2568" applyNumberFormat="1" applyFont="1" applyBorder="1" applyAlignment="1">
      <alignment horizontal="center" vertical="center"/>
    </xf>
    <xf numFmtId="43" fontId="25" fillId="0" borderId="2" xfId="2568" applyNumberFormat="1" applyFont="1" applyBorder="1" applyAlignment="1">
      <alignment horizontal="center" vertical="center"/>
    </xf>
    <xf numFmtId="2" fontId="25" fillId="0" borderId="4" xfId="2568" applyFont="1" applyBorder="1" applyAlignment="1">
      <alignment horizontal="center" vertical="center"/>
    </xf>
    <xf numFmtId="2" fontId="10" fillId="0" borderId="11" xfId="2568" applyFont="1" applyBorder="1" applyAlignment="1">
      <alignment horizontal="center" vertical="center"/>
    </xf>
    <xf numFmtId="2" fontId="10" fillId="0" borderId="0" xfId="2568" applyFont="1" applyAlignment="1">
      <alignment horizontal="center" vertical="center"/>
    </xf>
    <xf numFmtId="0" fontId="14" fillId="3" borderId="9" xfId="2306" applyFont="1" applyFill="1" applyBorder="1" applyAlignment="1">
      <alignment horizontal="center" vertical="center" wrapText="1"/>
    </xf>
    <xf numFmtId="0" fontId="14" fillId="3" borderId="10" xfId="2306" applyFont="1" applyFill="1" applyBorder="1" applyAlignment="1">
      <alignment horizontal="center" vertical="center" wrapText="1"/>
    </xf>
    <xf numFmtId="0" fontId="14" fillId="3" borderId="2" xfId="2306" applyFont="1" applyFill="1" applyBorder="1" applyAlignment="1">
      <alignment horizontal="center" vertical="center" wrapText="1"/>
    </xf>
    <xf numFmtId="0" fontId="14" fillId="0" borderId="9" xfId="2306" applyFont="1" applyFill="1" applyBorder="1" applyAlignment="1">
      <alignment horizontal="center" vertical="center" wrapText="1"/>
    </xf>
    <xf numFmtId="0" fontId="14" fillId="0" borderId="2" xfId="2306" applyFont="1" applyFill="1" applyBorder="1" applyAlignment="1">
      <alignment horizontal="center" vertical="center" wrapText="1"/>
    </xf>
    <xf numFmtId="0" fontId="16" fillId="0" borderId="0" xfId="2306" applyFont="1" applyFill="1" applyBorder="1" applyAlignment="1">
      <alignment horizontal="center" vertical="center"/>
    </xf>
    <xf numFmtId="187" fontId="16" fillId="0" borderId="0" xfId="2306" applyNumberFormat="1" applyFont="1" applyFill="1" applyBorder="1" applyAlignment="1">
      <alignment horizontal="center" vertical="center"/>
    </xf>
    <xf numFmtId="190" fontId="16" fillId="0" borderId="0" xfId="2306" applyNumberFormat="1" applyFont="1" applyFill="1" applyBorder="1" applyAlignment="1">
      <alignment horizontal="center" vertical="center"/>
    </xf>
    <xf numFmtId="0" fontId="14" fillId="0" borderId="5" xfId="2658" applyFont="1" applyFill="1" applyBorder="1" applyAlignment="1" applyProtection="1">
      <alignment horizontal="left" vertical="center" wrapText="1"/>
      <protection locked="0"/>
    </xf>
    <xf numFmtId="0" fontId="14" fillId="0" borderId="9" xfId="2112" applyFont="1" applyFill="1" applyBorder="1" applyAlignment="1" applyProtection="1">
      <alignment horizontal="center" vertical="center" wrapText="1"/>
    </xf>
    <xf numFmtId="0" fontId="14" fillId="0" borderId="2" xfId="2112" applyFont="1" applyFill="1" applyBorder="1" applyAlignment="1" applyProtection="1">
      <alignment horizontal="center" vertical="center" wrapText="1"/>
    </xf>
    <xf numFmtId="187" fontId="14" fillId="0" borderId="9" xfId="2112" applyNumberFormat="1" applyFont="1" applyFill="1" applyBorder="1" applyAlignment="1" applyProtection="1">
      <alignment horizontal="center" vertical="center" wrapText="1"/>
    </xf>
    <xf numFmtId="187" fontId="14" fillId="0" borderId="2" xfId="2112" applyNumberFormat="1" applyFont="1" applyFill="1" applyBorder="1" applyAlignment="1" applyProtection="1">
      <alignment horizontal="center" vertical="center" wrapText="1"/>
    </xf>
    <xf numFmtId="0" fontId="14" fillId="0" borderId="12" xfId="2112" applyFont="1" applyFill="1" applyBorder="1" applyAlignment="1" applyProtection="1">
      <alignment horizontal="center" vertical="center" wrapText="1"/>
    </xf>
    <xf numFmtId="0" fontId="14" fillId="0" borderId="3" xfId="2112" applyFont="1" applyFill="1" applyBorder="1" applyAlignment="1" applyProtection="1">
      <alignment horizontal="center" vertical="center" wrapText="1"/>
    </xf>
    <xf numFmtId="190" fontId="14" fillId="0" borderId="13" xfId="2112" applyNumberFormat="1" applyFont="1" applyFill="1" applyBorder="1" applyAlignment="1" applyProtection="1">
      <alignment horizontal="center" vertical="center" wrapText="1"/>
    </xf>
    <xf numFmtId="190" fontId="14" fillId="0" borderId="1" xfId="2112" applyNumberFormat="1" applyFont="1" applyFill="1" applyBorder="1" applyAlignment="1" applyProtection="1">
      <alignment horizontal="center" vertical="center" wrapText="1"/>
    </xf>
    <xf numFmtId="0" fontId="15" fillId="0" borderId="0" xfId="2568" applyNumberFormat="1" applyFont="1" applyAlignment="1">
      <alignment horizontal="center" vertical="center"/>
    </xf>
    <xf numFmtId="0" fontId="16" fillId="0" borderId="0" xfId="2568" applyNumberFormat="1" applyFont="1" applyAlignment="1">
      <alignment horizontal="center" vertical="center"/>
    </xf>
    <xf numFmtId="0" fontId="21" fillId="0" borderId="11" xfId="2568" applyNumberFormat="1" applyFont="1" applyBorder="1" applyAlignment="1">
      <alignment horizontal="center" vertical="center"/>
    </xf>
    <xf numFmtId="0" fontId="22" fillId="0" borderId="11" xfId="2568" applyNumberFormat="1" applyFont="1" applyBorder="1" applyAlignment="1">
      <alignment horizontal="center" vertical="center"/>
    </xf>
    <xf numFmtId="0" fontId="17" fillId="0" borderId="4" xfId="2568" applyNumberFormat="1" applyFont="1" applyBorder="1" applyAlignment="1">
      <alignment horizontal="center" vertical="center" wrapText="1"/>
    </xf>
    <xf numFmtId="43" fontId="18" fillId="0" borderId="9" xfId="2568" applyNumberFormat="1" applyFont="1" applyBorder="1" applyAlignment="1">
      <alignment horizontal="center" vertical="center" wrapText="1"/>
    </xf>
    <xf numFmtId="43" fontId="18" fillId="0" borderId="2" xfId="2568" applyNumberFormat="1" applyFont="1" applyBorder="1" applyAlignment="1">
      <alignment horizontal="center" vertical="center" wrapText="1"/>
    </xf>
    <xf numFmtId="0" fontId="17" fillId="0" borderId="4" xfId="2568" applyNumberFormat="1" applyFont="1" applyBorder="1" applyAlignment="1">
      <alignment horizontal="center" vertical="center"/>
    </xf>
    <xf numFmtId="0" fontId="14" fillId="0" borderId="9" xfId="0" applyFont="1" applyBorder="1" applyAlignment="1">
      <alignment horizontal="center" vertical="center"/>
    </xf>
    <xf numFmtId="0" fontId="14" fillId="0" borderId="2" xfId="0" applyFont="1" applyBorder="1" applyAlignment="1">
      <alignment horizontal="center" vertical="center"/>
    </xf>
    <xf numFmtId="0" fontId="13" fillId="0" borderId="0" xfId="2237" applyFont="1" applyFill="1" applyAlignment="1">
      <alignment horizontal="center" vertical="center"/>
    </xf>
    <xf numFmtId="0" fontId="10" fillId="0" borderId="4" xfId="2237" applyFont="1" applyFill="1" applyBorder="1" applyAlignment="1">
      <alignment horizontal="center" vertical="center"/>
    </xf>
    <xf numFmtId="43" fontId="0" fillId="0" borderId="6" xfId="2020" applyNumberFormat="1" applyFont="1" applyFill="1" applyBorder="1" applyAlignment="1">
      <alignment vertical="center"/>
    </xf>
    <xf numFmtId="43" fontId="0" fillId="0" borderId="8" xfId="2020" applyNumberFormat="1" applyFont="1" applyFill="1" applyBorder="1" applyAlignment="1">
      <alignment vertical="center"/>
    </xf>
    <xf numFmtId="0" fontId="13" fillId="0" borderId="0" xfId="0" applyFont="1" applyAlignment="1">
      <alignment horizontal="center" vertical="center"/>
    </xf>
    <xf numFmtId="0" fontId="2" fillId="0" borderId="4" xfId="0" applyFont="1" applyBorder="1" applyAlignment="1">
      <alignment horizontal="center" vertical="center"/>
    </xf>
    <xf numFmtId="43" fontId="3" fillId="0" borderId="6" xfId="0" applyNumberFormat="1" applyFont="1" applyBorder="1" applyAlignment="1">
      <alignment horizontal="center" vertical="center"/>
    </xf>
    <xf numFmtId="43" fontId="3" fillId="0" borderId="8" xfId="0" applyNumberFormat="1" applyFont="1" applyBorder="1" applyAlignment="1">
      <alignment horizontal="center" vertical="center"/>
    </xf>
    <xf numFmtId="0" fontId="2" fillId="0" borderId="4" xfId="2189" applyFont="1" applyFill="1" applyBorder="1" applyAlignment="1">
      <alignment horizontal="center" vertical="center"/>
    </xf>
    <xf numFmtId="0" fontId="2" fillId="0" borderId="9" xfId="2189" applyFont="1" applyFill="1" applyBorder="1" applyAlignment="1">
      <alignment horizontal="center" vertical="center"/>
    </xf>
    <xf numFmtId="0" fontId="2" fillId="0" borderId="10" xfId="2189" applyFont="1" applyFill="1" applyBorder="1" applyAlignment="1">
      <alignment horizontal="center" vertical="center"/>
    </xf>
    <xf numFmtId="0" fontId="2" fillId="0" borderId="2" xfId="2189" applyFont="1" applyFill="1" applyBorder="1" applyAlignment="1">
      <alignment horizontal="center" vertical="center"/>
    </xf>
    <xf numFmtId="0" fontId="13" fillId="0" borderId="0" xfId="2189" applyFont="1" applyFill="1" applyAlignment="1">
      <alignment horizontal="center" vertical="center"/>
    </xf>
    <xf numFmtId="0" fontId="1" fillId="0" borderId="0" xfId="2658" applyFont="1" applyFill="1" applyAlignment="1" applyProtection="1">
      <alignment horizontal="center" vertical="center"/>
      <protection locked="0"/>
    </xf>
    <xf numFmtId="184" fontId="1" fillId="0" borderId="0" xfId="2658" applyNumberFormat="1" applyFont="1" applyFill="1" applyAlignment="1" applyProtection="1">
      <alignment horizontal="center" vertical="center"/>
      <protection locked="0"/>
    </xf>
    <xf numFmtId="49" fontId="4" fillId="0" borderId="6" xfId="2306" applyNumberFormat="1" applyFont="1" applyFill="1" applyBorder="1" applyAlignment="1">
      <alignment horizontal="center" vertical="center" wrapText="1"/>
    </xf>
    <xf numFmtId="49" fontId="4" fillId="0" borderId="7" xfId="2306" applyNumberFormat="1" applyFont="1" applyFill="1" applyBorder="1" applyAlignment="1">
      <alignment horizontal="center" vertical="center" wrapText="1"/>
    </xf>
    <xf numFmtId="49" fontId="4" fillId="0" borderId="8" xfId="2306" applyNumberFormat="1" applyFont="1" applyFill="1" applyBorder="1" applyAlignment="1">
      <alignment horizontal="center" vertical="center" wrapText="1"/>
    </xf>
    <xf numFmtId="0" fontId="4" fillId="0" borderId="4" xfId="2306" applyFont="1" applyFill="1" applyBorder="1" applyAlignment="1">
      <alignment horizontal="center" vertical="center" wrapText="1"/>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4" fillId="0" borderId="4" xfId="0" applyFont="1" applyBorder="1" applyAlignment="1">
      <alignment horizontal="center" vertical="center"/>
    </xf>
    <xf numFmtId="0" fontId="8" fillId="0" borderId="4" xfId="0" applyFont="1" applyBorder="1" applyAlignment="1">
      <alignment horizontal="center" vertical="center"/>
    </xf>
    <xf numFmtId="0" fontId="3" fillId="0" borderId="0" xfId="0" applyFont="1" applyAlignment="1" applyProtection="1">
      <alignment wrapText="1"/>
      <protection locked="0"/>
    </xf>
    <xf numFmtId="0" fontId="97" fillId="0" borderId="0" xfId="0" applyFont="1" applyProtection="1">
      <protection locked="0"/>
    </xf>
    <xf numFmtId="10" fontId="97" fillId="0" borderId="0" xfId="72" applyNumberFormat="1" applyFont="1" applyFill="1" applyAlignment="1" applyProtection="1">
      <protection locked="0"/>
    </xf>
    <xf numFmtId="0" fontId="3" fillId="0" borderId="0" xfId="0" applyFont="1" applyProtection="1">
      <protection locked="0"/>
    </xf>
    <xf numFmtId="0" fontId="50" fillId="0" borderId="0" xfId="2658" applyFont="1" applyFill="1" applyAlignment="1" applyProtection="1">
      <alignment horizontal="center" vertical="center" wrapText="1"/>
    </xf>
    <xf numFmtId="0" fontId="3" fillId="0" borderId="47" xfId="2720" applyFont="1" applyFill="1" applyBorder="1" applyAlignment="1" applyProtection="1">
      <alignment horizontal="left" vertical="center" wrapText="1"/>
    </xf>
    <xf numFmtId="0" fontId="3" fillId="0" borderId="0" xfId="2720" applyFont="1" applyFill="1" applyBorder="1" applyAlignment="1" applyProtection="1">
      <alignment horizontal="left" vertical="center" wrapText="1"/>
    </xf>
    <xf numFmtId="0" fontId="3" fillId="0" borderId="0" xfId="2720" applyFont="1" applyFill="1" applyBorder="1" applyAlignment="1" applyProtection="1">
      <alignment vertical="center" wrapText="1"/>
    </xf>
    <xf numFmtId="0" fontId="3" fillId="0" borderId="0" xfId="2720" applyFont="1" applyFill="1" applyBorder="1" applyAlignment="1" applyProtection="1">
      <alignment horizontal="center" vertical="center" wrapText="1"/>
    </xf>
    <xf numFmtId="0" fontId="41" fillId="0" borderId="20" xfId="0" applyFont="1" applyBorder="1" applyAlignment="1" applyProtection="1">
      <alignment horizontal="center" vertical="center"/>
    </xf>
    <xf numFmtId="0" fontId="41" fillId="0" borderId="4" xfId="0" applyFont="1" applyBorder="1" applyAlignment="1" applyProtection="1">
      <alignment horizontal="center" vertical="center" wrapText="1"/>
    </xf>
    <xf numFmtId="0" fontId="41" fillId="0" borderId="4" xfId="0" applyFont="1" applyBorder="1" applyAlignment="1" applyProtection="1">
      <alignment horizontal="center" vertical="center" wrapText="1"/>
    </xf>
    <xf numFmtId="0" fontId="41" fillId="0" borderId="4" xfId="0" applyFont="1" applyBorder="1" applyAlignment="1" applyProtection="1">
      <alignment horizontal="center" vertical="center"/>
    </xf>
    <xf numFmtId="0" fontId="41" fillId="0" borderId="4" xfId="0" applyFont="1" applyBorder="1" applyAlignment="1" applyProtection="1">
      <alignment horizontal="center" vertical="center"/>
    </xf>
    <xf numFmtId="0" fontId="41" fillId="0" borderId="31" xfId="0" applyFont="1" applyBorder="1" applyAlignment="1" applyProtection="1">
      <alignment horizontal="center" vertical="center"/>
    </xf>
    <xf numFmtId="0" fontId="41" fillId="0" borderId="28" xfId="0" applyFont="1" applyBorder="1" applyAlignment="1" applyProtection="1">
      <alignment horizontal="center" vertical="center"/>
    </xf>
    <xf numFmtId="0" fontId="41" fillId="0" borderId="29" xfId="0" applyFont="1" applyBorder="1" applyAlignment="1" applyProtection="1">
      <alignment horizontal="center" vertical="center"/>
    </xf>
    <xf numFmtId="0" fontId="41" fillId="0" borderId="29" xfId="0" applyFont="1" applyBorder="1" applyAlignment="1" applyProtection="1">
      <alignment horizontal="center" vertical="center" wrapText="1"/>
    </xf>
    <xf numFmtId="0" fontId="41" fillId="0" borderId="29" xfId="0" applyFont="1" applyBorder="1" applyAlignment="1" applyProtection="1">
      <alignment horizontal="center" vertical="center"/>
    </xf>
    <xf numFmtId="0" fontId="41" fillId="0" borderId="35" xfId="0" applyFont="1" applyBorder="1" applyAlignment="1" applyProtection="1">
      <alignment horizontal="center" vertical="center"/>
    </xf>
    <xf numFmtId="0" fontId="3" fillId="0" borderId="0" xfId="0" applyFont="1" applyAlignment="1" applyProtection="1">
      <alignment horizontal="left" wrapText="1"/>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center" wrapText="1"/>
      <protection locked="0"/>
    </xf>
    <xf numFmtId="0" fontId="4" fillId="0" borderId="6" xfId="2658" applyFont="1" applyFill="1" applyBorder="1" applyAlignment="1" applyProtection="1">
      <alignment horizontal="center" vertical="center" wrapText="1"/>
      <protection locked="0" hidden="1"/>
    </xf>
    <xf numFmtId="0" fontId="3" fillId="0" borderId="0" xfId="0" applyFont="1" applyAlignment="1" applyProtection="1">
      <alignment horizontal="center" vertical="center" wrapText="1"/>
      <protection locked="0"/>
    </xf>
    <xf numFmtId="187" fontId="4" fillId="0" borderId="6" xfId="2658" applyNumberFormat="1" applyFont="1" applyFill="1" applyBorder="1" applyAlignment="1" applyProtection="1">
      <alignment horizontal="center" vertical="center" wrapText="1"/>
      <protection locked="0" hidden="1"/>
    </xf>
    <xf numFmtId="194" fontId="99" fillId="0" borderId="4" xfId="0" applyNumberFormat="1" applyFont="1" applyBorder="1" applyAlignment="1" applyProtection="1">
      <alignment horizontal="center" vertical="center" wrapText="1"/>
      <protection locked="0"/>
    </xf>
    <xf numFmtId="187" fontId="3" fillId="0" borderId="6" xfId="2658" applyNumberFormat="1" applyFont="1" applyFill="1" applyBorder="1" applyAlignment="1" applyProtection="1">
      <alignment horizontal="center" vertical="center" wrapText="1"/>
      <protection locked="0" hidden="1"/>
    </xf>
    <xf numFmtId="187" fontId="99" fillId="0" borderId="4" xfId="0" applyNumberFormat="1" applyFont="1" applyBorder="1" applyAlignment="1" applyProtection="1">
      <alignment horizontal="center" vertical="center" wrapText="1"/>
      <protection locked="0"/>
    </xf>
    <xf numFmtId="0" fontId="3" fillId="0" borderId="6" xfId="2658" applyNumberFormat="1" applyFont="1" applyFill="1" applyBorder="1" applyAlignment="1" applyProtection="1">
      <alignment horizontal="center" vertical="center" wrapText="1"/>
      <protection locked="0" hidden="1"/>
    </xf>
    <xf numFmtId="0" fontId="103" fillId="0" borderId="0" xfId="0" applyFont="1" applyAlignment="1" applyProtection="1">
      <alignment wrapText="1"/>
      <protection locked="0"/>
    </xf>
    <xf numFmtId="197" fontId="3" fillId="0" borderId="0" xfId="0" applyNumberFormat="1" applyFont="1" applyAlignment="1" applyProtection="1">
      <alignment horizontal="center" wrapText="1"/>
      <protection locked="0"/>
    </xf>
    <xf numFmtId="0" fontId="51" fillId="0" borderId="0" xfId="0" applyFont="1" applyAlignment="1" applyProtection="1">
      <alignment vertical="center"/>
      <protection locked="0"/>
    </xf>
    <xf numFmtId="0" fontId="39" fillId="0" borderId="28" xfId="0" applyFont="1" applyBorder="1" applyAlignment="1" applyProtection="1">
      <alignment horizontal="center" vertical="center" wrapText="1"/>
    </xf>
    <xf numFmtId="0" fontId="39" fillId="0" borderId="29" xfId="0" applyFont="1" applyBorder="1" applyAlignment="1" applyProtection="1">
      <alignment horizontal="center" vertical="center" wrapText="1"/>
    </xf>
    <xf numFmtId="0" fontId="101" fillId="0" borderId="29" xfId="0" applyFont="1" applyBorder="1" applyAlignment="1" applyProtection="1">
      <alignment horizontal="center" vertical="center" wrapText="1"/>
    </xf>
    <xf numFmtId="197" fontId="102" fillId="0" borderId="29" xfId="0" applyNumberFormat="1" applyFont="1" applyBorder="1" applyAlignment="1" applyProtection="1">
      <alignment horizontal="center" vertical="center" wrapText="1"/>
    </xf>
    <xf numFmtId="0" fontId="39" fillId="0" borderId="29" xfId="2658" applyFont="1" applyFill="1" applyBorder="1" applyAlignment="1" applyProtection="1">
      <alignment horizontal="center" vertical="center" wrapText="1"/>
    </xf>
    <xf numFmtId="0" fontId="39" fillId="0" borderId="35" xfId="2658" applyFont="1" applyFill="1" applyBorder="1" applyAlignment="1" applyProtection="1">
      <alignment horizontal="center" vertical="center" wrapText="1"/>
    </xf>
    <xf numFmtId="0" fontId="3" fillId="0" borderId="31" xfId="0" applyFont="1" applyBorder="1" applyAlignment="1" applyProtection="1">
      <alignment horizontal="left" vertical="center" wrapText="1"/>
    </xf>
    <xf numFmtId="0" fontId="4" fillId="0" borderId="31" xfId="2658" applyFont="1" applyFill="1" applyBorder="1" applyAlignment="1" applyProtection="1">
      <alignment horizontal="center" vertical="center" wrapText="1"/>
    </xf>
    <xf numFmtId="0" fontId="3" fillId="0" borderId="20"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3" fillId="0" borderId="4" xfId="0" applyFont="1" applyBorder="1" applyAlignment="1" applyProtection="1">
      <alignment horizontal="center" vertical="center" wrapText="1"/>
    </xf>
    <xf numFmtId="197" fontId="3" fillId="0" borderId="4" xfId="0" applyNumberFormat="1" applyFont="1" applyBorder="1" applyAlignment="1" applyProtection="1">
      <alignment horizontal="center" vertical="center" wrapText="1"/>
    </xf>
    <xf numFmtId="0" fontId="3" fillId="0" borderId="4" xfId="2658" applyFont="1" applyFill="1" applyBorder="1" applyAlignment="1" applyProtection="1">
      <alignment horizontal="center" vertical="center" wrapText="1"/>
    </xf>
    <xf numFmtId="0" fontId="4" fillId="0" borderId="20" xfId="0" applyFont="1" applyBorder="1" applyAlignment="1" applyProtection="1">
      <alignment horizontal="left" vertical="center" wrapText="1"/>
    </xf>
    <xf numFmtId="0" fontId="4" fillId="0" borderId="4" xfId="0" applyFont="1" applyBorder="1" applyAlignment="1" applyProtection="1">
      <alignment horizontal="left" vertical="center" wrapText="1"/>
    </xf>
    <xf numFmtId="197" fontId="4" fillId="0" borderId="4" xfId="2658" applyNumberFormat="1" applyFont="1" applyFill="1" applyBorder="1" applyAlignment="1" applyProtection="1">
      <alignment horizontal="center" vertical="center" wrapText="1"/>
    </xf>
    <xf numFmtId="0" fontId="4" fillId="0" borderId="4" xfId="2658" applyFont="1" applyFill="1" applyBorder="1" applyAlignment="1" applyProtection="1">
      <alignment horizontal="center" vertical="center" wrapText="1"/>
    </xf>
    <xf numFmtId="0" fontId="3" fillId="0" borderId="4" xfId="0" applyFont="1" applyBorder="1" applyAlignment="1" applyProtection="1">
      <alignment horizontal="right" vertical="center" wrapText="1"/>
    </xf>
    <xf numFmtId="0" fontId="104" fillId="0" borderId="4" xfId="0" applyFont="1" applyBorder="1" applyAlignment="1" applyProtection="1">
      <alignment horizontal="left" vertical="center" wrapText="1"/>
    </xf>
    <xf numFmtId="194" fontId="99" fillId="0" borderId="4" xfId="0" applyNumberFormat="1" applyFont="1" applyBorder="1" applyAlignment="1" applyProtection="1">
      <alignment horizontal="center" vertical="center" wrapText="1"/>
    </xf>
    <xf numFmtId="1" fontId="3" fillId="0" borderId="4" xfId="2658" applyNumberFormat="1" applyFont="1" applyFill="1" applyBorder="1" applyAlignment="1" applyProtection="1">
      <alignment horizontal="center" vertical="center" wrapText="1"/>
    </xf>
    <xf numFmtId="0" fontId="50" fillId="0" borderId="0" xfId="2658" applyNumberFormat="1" applyFont="1" applyFill="1" applyAlignment="1" applyProtection="1">
      <alignment horizontal="center" vertical="center" wrapText="1"/>
    </xf>
    <xf numFmtId="0" fontId="3" fillId="0" borderId="0" xfId="2658" applyFont="1" applyFill="1" applyAlignment="1" applyProtection="1">
      <alignment horizontal="left" vertical="center"/>
    </xf>
    <xf numFmtId="0" fontId="3" fillId="0" borderId="0" xfId="0" applyFont="1" applyAlignment="1" applyProtection="1">
      <alignment wrapText="1"/>
    </xf>
    <xf numFmtId="0" fontId="3" fillId="0" borderId="0" xfId="0" applyFont="1" applyAlignment="1" applyProtection="1">
      <alignment horizontal="left" wrapText="1"/>
    </xf>
    <xf numFmtId="0" fontId="3" fillId="0" borderId="0" xfId="0" applyFont="1" applyAlignment="1" applyProtection="1">
      <alignment horizontal="left" vertical="center" wrapText="1"/>
    </xf>
    <xf numFmtId="0" fontId="3" fillId="0" borderId="0" xfId="0" applyFont="1" applyAlignment="1" applyProtection="1">
      <alignment horizontal="center" wrapText="1"/>
    </xf>
    <xf numFmtId="197" fontId="3" fillId="0" borderId="0" xfId="2720" applyNumberFormat="1" applyFont="1" applyFill="1" applyBorder="1" applyAlignment="1" applyProtection="1">
      <alignment horizontal="center" vertical="center" wrapText="1"/>
    </xf>
    <xf numFmtId="0" fontId="3" fillId="0" borderId="0" xfId="2720" applyNumberFormat="1" applyFont="1" applyFill="1" applyBorder="1" applyAlignment="1" applyProtection="1">
      <alignment vertical="center" wrapText="1"/>
    </xf>
    <xf numFmtId="197" fontId="4" fillId="0" borderId="37" xfId="2658" applyNumberFormat="1" applyFont="1" applyFill="1" applyBorder="1" applyAlignment="1" applyProtection="1">
      <alignment horizontal="center" vertical="center" wrapText="1"/>
    </xf>
    <xf numFmtId="0" fontId="4" fillId="0" borderId="37" xfId="2658" applyFont="1" applyFill="1" applyBorder="1" applyAlignment="1" applyProtection="1">
      <alignment horizontal="center" vertical="center" wrapText="1"/>
    </xf>
    <xf numFmtId="0" fontId="4" fillId="0" borderId="39" xfId="2658" applyFont="1" applyFill="1" applyBorder="1" applyAlignment="1" applyProtection="1">
      <alignment horizontal="center" vertical="center" wrapText="1"/>
    </xf>
    <xf numFmtId="197" fontId="4" fillId="0" borderId="4" xfId="2658" applyNumberFormat="1" applyFont="1" applyFill="1" applyBorder="1" applyAlignment="1" applyProtection="1">
      <alignment horizontal="center" vertical="center" wrapText="1"/>
    </xf>
    <xf numFmtId="0" fontId="4" fillId="0" borderId="4" xfId="2658" applyFont="1" applyFill="1" applyBorder="1" applyAlignment="1" applyProtection="1">
      <alignment horizontal="center" vertical="center" wrapText="1"/>
    </xf>
    <xf numFmtId="0" fontId="4" fillId="0" borderId="31" xfId="2658" applyFont="1" applyFill="1" applyBorder="1" applyAlignment="1" applyProtection="1">
      <alignment horizontal="center" vertical="center" wrapText="1"/>
    </xf>
    <xf numFmtId="187" fontId="3" fillId="0" borderId="4" xfId="2658" applyNumberFormat="1" applyFont="1" applyFill="1" applyBorder="1" applyAlignment="1" applyProtection="1">
      <alignment horizontal="center" vertical="center" wrapText="1"/>
    </xf>
    <xf numFmtId="191" fontId="3" fillId="0" borderId="31" xfId="2658" applyNumberFormat="1" applyFont="1" applyFill="1" applyBorder="1" applyAlignment="1" applyProtection="1">
      <alignment horizontal="left" vertical="center" wrapText="1"/>
    </xf>
    <xf numFmtId="0" fontId="3" fillId="0" borderId="0" xfId="0" applyFont="1" applyAlignment="1" applyProtection="1">
      <alignment horizontal="left" vertical="center"/>
      <protection locked="0"/>
    </xf>
    <xf numFmtId="0" fontId="3" fillId="0" borderId="0" xfId="0" applyFont="1" applyAlignment="1" applyProtection="1">
      <alignment horizontal="center"/>
      <protection locked="0"/>
    </xf>
    <xf numFmtId="0" fontId="4" fillId="0" borderId="6" xfId="2658" applyFont="1" applyFill="1" applyBorder="1" applyAlignment="1" applyProtection="1">
      <alignment horizontal="center" vertical="center"/>
      <protection locked="0" hidden="1"/>
    </xf>
    <xf numFmtId="0" fontId="3" fillId="0" borderId="0" xfId="0" applyFont="1" applyAlignment="1" applyProtection="1">
      <alignment horizontal="center" vertical="center"/>
      <protection locked="0"/>
    </xf>
    <xf numFmtId="187" fontId="4" fillId="0" borderId="6" xfId="2658" applyNumberFormat="1" applyFont="1" applyFill="1" applyBorder="1" applyAlignment="1" applyProtection="1">
      <alignment horizontal="center" vertical="center"/>
      <protection locked="0" hidden="1"/>
    </xf>
    <xf numFmtId="187" fontId="3" fillId="0" borderId="6" xfId="2658" applyNumberFormat="1" applyFont="1" applyFill="1" applyBorder="1" applyAlignment="1" applyProtection="1">
      <alignment horizontal="center" vertical="center"/>
      <protection locked="0" hidden="1"/>
    </xf>
    <xf numFmtId="187" fontId="3" fillId="0" borderId="4" xfId="2658" applyNumberFormat="1" applyFont="1" applyFill="1" applyBorder="1" applyAlignment="1" applyProtection="1">
      <alignment horizontal="center" vertical="center"/>
      <protection locked="0" hidden="1"/>
    </xf>
    <xf numFmtId="0" fontId="3" fillId="0" borderId="6" xfId="2658" applyFont="1" applyFill="1" applyBorder="1" applyAlignment="1" applyProtection="1">
      <alignment horizontal="center" vertical="center"/>
      <protection locked="0" hidden="1"/>
    </xf>
    <xf numFmtId="0" fontId="3" fillId="0" borderId="6" xfId="2658" applyNumberFormat="1" applyFont="1" applyFill="1" applyBorder="1" applyAlignment="1" applyProtection="1">
      <alignment horizontal="center" vertical="center"/>
      <protection locked="0" hidden="1"/>
    </xf>
    <xf numFmtId="1" fontId="3" fillId="0" borderId="6" xfId="2658" applyNumberFormat="1" applyFont="1" applyFill="1" applyBorder="1" applyAlignment="1" applyProtection="1">
      <alignment horizontal="center" vertical="center"/>
      <protection locked="0" hidden="1"/>
    </xf>
    <xf numFmtId="194" fontId="39" fillId="0" borderId="40" xfId="2658" applyNumberFormat="1" applyFont="1" applyFill="1" applyBorder="1" applyAlignment="1" applyProtection="1">
      <alignment horizontal="center" vertical="center"/>
      <protection locked="0" hidden="1"/>
    </xf>
    <xf numFmtId="0" fontId="103" fillId="0" borderId="0" xfId="0" applyFont="1" applyProtection="1">
      <protection locked="0"/>
    </xf>
    <xf numFmtId="197" fontId="3" fillId="0" borderId="0" xfId="0" applyNumberFormat="1" applyFont="1" applyAlignment="1" applyProtection="1">
      <alignment horizontal="center"/>
      <protection locked="0"/>
    </xf>
    <xf numFmtId="191" fontId="3" fillId="0" borderId="31" xfId="2658" applyNumberFormat="1" applyFont="1" applyFill="1" applyBorder="1" applyAlignment="1" applyProtection="1">
      <alignment horizontal="left" vertical="center"/>
    </xf>
    <xf numFmtId="0" fontId="4" fillId="0" borderId="31" xfId="2658" applyFont="1" applyFill="1" applyBorder="1" applyAlignment="1" applyProtection="1">
      <alignment horizontal="center" vertical="center"/>
    </xf>
    <xf numFmtId="0" fontId="39" fillId="0" borderId="35" xfId="2658" applyFont="1" applyFill="1" applyBorder="1" applyAlignment="1" applyProtection="1">
      <alignment horizontal="center" vertical="center"/>
    </xf>
    <xf numFmtId="0" fontId="3" fillId="0" borderId="4" xfId="2658" applyFont="1" applyFill="1" applyBorder="1" applyAlignment="1" applyProtection="1">
      <alignment horizontal="center" vertical="center"/>
    </xf>
    <xf numFmtId="0" fontId="4" fillId="0" borderId="4" xfId="2658" applyFont="1" applyFill="1" applyBorder="1" applyAlignment="1" applyProtection="1">
      <alignment horizontal="center" vertical="center"/>
    </xf>
    <xf numFmtId="0" fontId="39" fillId="0" borderId="28" xfId="0" applyFont="1" applyBorder="1" applyAlignment="1" applyProtection="1">
      <alignment horizontal="center" vertical="center"/>
    </xf>
    <xf numFmtId="0" fontId="39" fillId="0" borderId="29" xfId="0" applyFont="1" applyBorder="1" applyAlignment="1" applyProtection="1">
      <alignment horizontal="center" vertical="center"/>
    </xf>
    <xf numFmtId="0" fontId="39" fillId="0" borderId="29" xfId="2658" applyFont="1" applyFill="1" applyBorder="1" applyAlignment="1" applyProtection="1">
      <alignment horizontal="center" vertical="center"/>
    </xf>
    <xf numFmtId="191" fontId="4" fillId="0" borderId="31" xfId="2658" applyNumberFormat="1" applyFont="1" applyFill="1" applyBorder="1" applyAlignment="1" applyProtection="1">
      <alignment horizontal="center" vertical="center"/>
    </xf>
    <xf numFmtId="0" fontId="3" fillId="0" borderId="0" xfId="2658" applyNumberFormat="1" applyFont="1" applyFill="1" applyAlignment="1" applyProtection="1">
      <alignment horizontal="left" vertical="center"/>
    </xf>
    <xf numFmtId="0" fontId="3" fillId="0" borderId="0" xfId="0" applyFont="1" applyProtection="1"/>
    <xf numFmtId="0" fontId="3" fillId="0" borderId="0" xfId="0" applyFont="1" applyAlignment="1" applyProtection="1">
      <alignment horizontal="left" vertical="center"/>
    </xf>
    <xf numFmtId="0" fontId="3" fillId="0" borderId="0" xfId="0" applyFont="1" applyAlignment="1" applyProtection="1">
      <alignment horizontal="center"/>
    </xf>
    <xf numFmtId="0" fontId="3" fillId="0" borderId="0" xfId="2720" applyFont="1" applyFill="1" applyBorder="1" applyAlignment="1" applyProtection="1">
      <alignment horizontal="left" vertical="center"/>
    </xf>
    <xf numFmtId="0" fontId="3" fillId="0" borderId="0" xfId="2720" applyFont="1" applyFill="1" applyBorder="1" applyAlignment="1" applyProtection="1">
      <alignment horizontal="center" vertical="center"/>
    </xf>
    <xf numFmtId="197" fontId="3" fillId="0" borderId="0" xfId="2720" applyNumberFormat="1" applyFont="1" applyFill="1" applyBorder="1" applyAlignment="1" applyProtection="1">
      <alignment horizontal="center" vertical="center"/>
    </xf>
    <xf numFmtId="0" fontId="3" fillId="0" borderId="0" xfId="2720" applyFont="1" applyFill="1" applyBorder="1" applyAlignment="1" applyProtection="1">
      <alignment vertical="center"/>
    </xf>
    <xf numFmtId="0" fontId="3" fillId="0" borderId="0" xfId="2720" applyNumberFormat="1" applyFont="1" applyFill="1" applyBorder="1" applyAlignment="1" applyProtection="1">
      <alignment vertical="center"/>
    </xf>
    <xf numFmtId="1" fontId="3" fillId="0" borderId="4" xfId="2658" applyNumberFormat="1" applyFont="1" applyFill="1" applyBorder="1" applyAlignment="1" applyProtection="1">
      <alignment horizontal="center" vertical="center"/>
    </xf>
    <xf numFmtId="187" fontId="3" fillId="0" borderId="4" xfId="2658" applyNumberFormat="1" applyFont="1" applyFill="1" applyBorder="1" applyAlignment="1" applyProtection="1">
      <alignment horizontal="center" vertical="center"/>
    </xf>
    <xf numFmtId="193" fontId="102" fillId="0" borderId="29" xfId="0" applyNumberFormat="1" applyFont="1" applyBorder="1" applyAlignment="1" applyProtection="1">
      <alignment horizontal="center" vertical="center" wrapText="1"/>
    </xf>
    <xf numFmtId="194" fontId="3" fillId="0" borderId="4" xfId="0" applyNumberFormat="1" applyFont="1" applyBorder="1" applyAlignment="1" applyProtection="1">
      <alignment horizontal="center" vertical="center" wrapText="1"/>
    </xf>
    <xf numFmtId="0" fontId="4" fillId="0" borderId="39" xfId="2658" applyFont="1" applyFill="1" applyBorder="1" applyAlignment="1" applyProtection="1">
      <alignment horizontal="center" vertical="center"/>
    </xf>
    <xf numFmtId="0" fontId="4" fillId="0" borderId="31" xfId="2658" applyFont="1" applyFill="1" applyBorder="1" applyAlignment="1" applyProtection="1">
      <alignment horizontal="center" vertical="center"/>
    </xf>
    <xf numFmtId="0" fontId="3" fillId="0" borderId="0" xfId="0" applyFont="1" applyAlignment="1" applyProtection="1">
      <alignment horizontal="left"/>
      <protection locked="0"/>
    </xf>
    <xf numFmtId="0" fontId="97" fillId="0" borderId="4" xfId="0" applyFont="1" applyBorder="1" applyAlignment="1" applyProtection="1">
      <alignment horizontal="left" wrapText="1"/>
    </xf>
    <xf numFmtId="0" fontId="3" fillId="0" borderId="0" xfId="2658" applyFont="1" applyFill="1" applyAlignment="1" applyProtection="1">
      <alignment vertical="center"/>
    </xf>
    <xf numFmtId="0" fontId="3" fillId="0" borderId="0" xfId="2658" applyNumberFormat="1" applyFont="1" applyFill="1" applyAlignment="1" applyProtection="1">
      <alignment vertical="center"/>
    </xf>
    <xf numFmtId="0" fontId="3" fillId="0" borderId="0" xfId="0" applyFont="1" applyAlignment="1" applyProtection="1">
      <alignment horizontal="left"/>
    </xf>
    <xf numFmtId="0" fontId="3" fillId="0" borderId="0" xfId="0" applyFont="1" applyAlignment="1" applyProtection="1">
      <alignment horizontal="center" vertical="center"/>
    </xf>
    <xf numFmtId="0" fontId="4" fillId="0" borderId="6" xfId="2658" applyNumberFormat="1" applyFont="1" applyFill="1" applyBorder="1" applyAlignment="1" applyProtection="1">
      <alignment horizontal="center" vertical="center"/>
      <protection locked="0" hidden="1"/>
    </xf>
    <xf numFmtId="0" fontId="39" fillId="0" borderId="40" xfId="2658" applyNumberFormat="1" applyFont="1" applyFill="1" applyBorder="1" applyAlignment="1" applyProtection="1">
      <alignment horizontal="center" vertical="center"/>
      <protection locked="0" hidden="1"/>
    </xf>
    <xf numFmtId="0" fontId="3" fillId="0" borderId="4" xfId="0" applyFont="1" applyBorder="1" applyAlignment="1" applyProtection="1">
      <alignment horizontal="left" vertical="center"/>
    </xf>
    <xf numFmtId="193" fontId="99" fillId="0" borderId="4" xfId="0" applyNumberFormat="1" applyFont="1" applyBorder="1" applyAlignment="1" applyProtection="1">
      <alignment horizontal="center" vertical="center" wrapText="1"/>
    </xf>
    <xf numFmtId="184" fontId="4" fillId="0" borderId="6" xfId="2658" applyNumberFormat="1" applyFont="1" applyFill="1" applyBorder="1" applyAlignment="1" applyProtection="1">
      <alignment horizontal="center" vertical="center"/>
      <protection locked="0" hidden="1"/>
    </xf>
    <xf numFmtId="184" fontId="3" fillId="0" borderId="6" xfId="2658" applyNumberFormat="1" applyFont="1" applyFill="1" applyBorder="1" applyAlignment="1" applyProtection="1">
      <alignment horizontal="center" vertical="center"/>
      <protection locked="0" hidden="1"/>
    </xf>
    <xf numFmtId="184" fontId="39" fillId="0" borderId="40" xfId="2658" applyNumberFormat="1" applyFont="1" applyFill="1" applyBorder="1" applyAlignment="1" applyProtection="1">
      <alignment horizontal="center" vertical="center"/>
      <protection locked="0" hidden="1"/>
    </xf>
    <xf numFmtId="193" fontId="3" fillId="0" borderId="4" xfId="2658" applyNumberFormat="1" applyFont="1" applyFill="1" applyBorder="1" applyAlignment="1" applyProtection="1">
      <alignment horizontal="center" vertical="center"/>
    </xf>
    <xf numFmtId="0" fontId="4" fillId="0" borderId="41" xfId="2658" applyFont="1" applyFill="1" applyBorder="1" applyAlignment="1" applyProtection="1">
      <alignment horizontal="center" vertical="center"/>
    </xf>
    <xf numFmtId="0" fontId="4" fillId="0" borderId="34" xfId="2658" applyFont="1" applyFill="1" applyBorder="1" applyAlignment="1" applyProtection="1">
      <alignment horizontal="center" vertical="center"/>
    </xf>
    <xf numFmtId="198" fontId="3" fillId="0" borderId="4" xfId="0" applyNumberFormat="1" applyFont="1" applyBorder="1" applyAlignment="1" applyProtection="1">
      <alignment horizontal="center" vertical="center" wrapText="1"/>
    </xf>
    <xf numFmtId="193" fontId="3" fillId="0" borderId="4" xfId="0" applyNumberFormat="1" applyFont="1" applyBorder="1" applyAlignment="1" applyProtection="1">
      <alignment horizontal="center" vertical="center"/>
    </xf>
    <xf numFmtId="0" fontId="3" fillId="0" borderId="0" xfId="2658" applyFont="1" applyFill="1" applyAlignment="1" applyProtection="1">
      <alignment horizontal="left" vertical="center"/>
    </xf>
    <xf numFmtId="197" fontId="3" fillId="0" borderId="0" xfId="2658" applyNumberFormat="1" applyFont="1" applyFill="1" applyAlignment="1" applyProtection="1">
      <alignment horizontal="left" vertical="center"/>
    </xf>
  </cellXfs>
  <cellStyles count="4119">
    <cellStyle name="?" xfId="390" xr:uid="{00000000-0005-0000-0000-0000B4010000}"/>
    <cellStyle name="? 2" xfId="398" xr:uid="{00000000-0005-0000-0000-0000BC010000}"/>
    <cellStyle name="? 2 2" xfId="407" xr:uid="{00000000-0005-0000-0000-0000C5010000}"/>
    <cellStyle name="? 2 2 2" xfId="364" xr:uid="{00000000-0005-0000-0000-00009A010000}"/>
    <cellStyle name="? 3" xfId="438" xr:uid="{00000000-0005-0000-0000-0000E4010000}"/>
    <cellStyle name="? 3 2" xfId="335" xr:uid="{00000000-0005-0000-0000-00007D010000}"/>
    <cellStyle name="??" xfId="425" xr:uid="{00000000-0005-0000-0000-0000D7010000}"/>
    <cellStyle name="?? 2" xfId="172" xr:uid="{00000000-0005-0000-0000-0000C3000000}"/>
    <cellStyle name="?? 3" xfId="349" xr:uid="{00000000-0005-0000-0000-00008B010000}"/>
    <cellStyle name="?_纸票贴现业务余额(" xfId="339" xr:uid="{00000000-0005-0000-0000-000081010000}"/>
    <cellStyle name="?_纸票贴现业务余额( 2" xfId="443" xr:uid="{00000000-0005-0000-0000-0000E9010000}"/>
    <cellStyle name="?_纸票贴现业务余额( 2 2" xfId="457" xr:uid="{00000000-0005-0000-0000-0000F7010000}"/>
    <cellStyle name="@ET_Style?@font-face" xfId="379" xr:uid="{00000000-0005-0000-0000-0000A9010000}"/>
    <cellStyle name="_20100326高清市院遂宁检察院1080P配置清单26日改" xfId="330" xr:uid="{00000000-0005-0000-0000-000078010000}"/>
    <cellStyle name="_20100326高清市院遂宁检察院1080P配置清单26日改 2" xfId="470" xr:uid="{00000000-0005-0000-0000-000004020000}"/>
    <cellStyle name="_4-第一册-公路工程量清单" xfId="474" xr:uid="{00000000-0005-0000-0000-000008020000}"/>
    <cellStyle name="_4-第一册-公路工程量清单 2" xfId="479" xr:uid="{00000000-0005-0000-0000-00000D020000}"/>
    <cellStyle name="_Book1" xfId="394" xr:uid="{00000000-0005-0000-0000-0000B8010000}"/>
    <cellStyle name="_Book1 2" xfId="400" xr:uid="{00000000-0005-0000-0000-0000BE010000}"/>
    <cellStyle name="_Book1_1" xfId="484" xr:uid="{00000000-0005-0000-0000-000012020000}"/>
    <cellStyle name="_Book1_1 2" xfId="491" xr:uid="{00000000-0005-0000-0000-000019020000}"/>
    <cellStyle name="_Book1_1_20120531马平路工程量清单（机电）" xfId="495" xr:uid="{00000000-0005-0000-0000-00001D020000}"/>
    <cellStyle name="_Book1_1_20120531马平路工程量清单（机电） 2" xfId="498" xr:uid="{00000000-0005-0000-0000-000020020000}"/>
    <cellStyle name="_Book1_1_第三册-来马路工程量清单（机电）(2012.04.13)" xfId="513" xr:uid="{00000000-0005-0000-0000-00002F020000}"/>
    <cellStyle name="_Book1_1_第三册-来马路工程量清单（机电）(2012.04.13) 2" xfId="519" xr:uid="{00000000-0005-0000-0000-000035020000}"/>
    <cellStyle name="_Book1_1_第一册-来马路工程量清单（土建）.造价部核" xfId="524" xr:uid="{00000000-0005-0000-0000-00003A020000}"/>
    <cellStyle name="_Book1_1_第一册-来马路工程量清单（土建）.造价部核 2" xfId="531" xr:uid="{00000000-0005-0000-0000-000041020000}"/>
    <cellStyle name="_Book1_2" xfId="539" xr:uid="{00000000-0005-0000-0000-000049020000}"/>
    <cellStyle name="_Book1_2 2" xfId="545" xr:uid="{00000000-0005-0000-0000-00004F020000}"/>
    <cellStyle name="_Book1_2_20120531马平路工程量清单（机电）" xfId="550" xr:uid="{00000000-0005-0000-0000-000054020000}"/>
    <cellStyle name="_Book1_2_20120531马平路工程量清单（机电） 2" xfId="561" xr:uid="{00000000-0005-0000-0000-00005F020000}"/>
    <cellStyle name="_Book1_2_第三册-来马路工程量清单（机电）(2012.04.13)" xfId="568" xr:uid="{00000000-0005-0000-0000-000066020000}"/>
    <cellStyle name="_Book1_2_第三册-来马路工程量清单（机电）(2012.04.13) 2" xfId="571" xr:uid="{00000000-0005-0000-0000-000069020000}"/>
    <cellStyle name="_Book1_2_第一册-来马路工程量清单（土建）.造价部核" xfId="577" xr:uid="{00000000-0005-0000-0000-00006F020000}"/>
    <cellStyle name="_Book1_2_第一册-来马路工程量清单（土建）.造价部核 2" xfId="589" xr:uid="{00000000-0005-0000-0000-00007B020000}"/>
    <cellStyle name="_Book1_20120531马平路工程量清单（机电）" xfId="599" xr:uid="{00000000-0005-0000-0000-000085020000}"/>
    <cellStyle name="_Book1_20120531马平路工程量清单（机电） 2" xfId="612" xr:uid="{00000000-0005-0000-0000-000092020000}"/>
    <cellStyle name="_Book1_3" xfId="618" xr:uid="{00000000-0005-0000-0000-000098020000}"/>
    <cellStyle name="_Book1_3 2" xfId="626" xr:uid="{00000000-0005-0000-0000-0000A0020000}"/>
    <cellStyle name="_Book1_3 3" xfId="633" xr:uid="{00000000-0005-0000-0000-0000A7020000}"/>
    <cellStyle name="_Book1_4" xfId="646" xr:uid="{00000000-0005-0000-0000-0000B4020000}"/>
    <cellStyle name="_Book1_4 2" xfId="662" xr:uid="{00000000-0005-0000-0000-0000C4020000}"/>
    <cellStyle name="_Book1_4 3" xfId="680" xr:uid="{00000000-0005-0000-0000-0000D6020000}"/>
    <cellStyle name="_Book1_第三册-来马路工程量清单（机电）(2012.04.13)" xfId="477" xr:uid="{00000000-0005-0000-0000-00000B020000}"/>
    <cellStyle name="_Book1_第三册-来马路工程量清单（机电）(2012.04.13) 2" xfId="683" xr:uid="{00000000-0005-0000-0000-0000D9020000}"/>
    <cellStyle name="_Book1_第一册-来马路工程量清单（土建）.造价部核" xfId="689" xr:uid="{00000000-0005-0000-0000-0000DF020000}"/>
    <cellStyle name="_Book1_第一册-来马路工程量清单（土建）.造价部核 2" xfId="695" xr:uid="{00000000-0005-0000-0000-0000E5020000}"/>
    <cellStyle name="_ET_STYLE_NoName_00_" xfId="698" xr:uid="{00000000-0005-0000-0000-0000E8020000}"/>
    <cellStyle name="_ET_STYLE_NoName_00_ 2" xfId="705" xr:uid="{00000000-0005-0000-0000-0000EF020000}"/>
    <cellStyle name="_ET_STYLE_NoName_00_ 3" xfId="707" xr:uid="{00000000-0005-0000-0000-0000F1020000}"/>
    <cellStyle name="_ET_STYLE_NoName_00__20120531马平路工程量清单（机电）" xfId="715" xr:uid="{00000000-0005-0000-0000-0000F9020000}"/>
    <cellStyle name="_ET_STYLE_NoName_00__20120531马平路工程量清单（机电） 2" xfId="720" xr:uid="{00000000-0005-0000-0000-0000FE020000}"/>
    <cellStyle name="_ET_STYLE_NoName_00__7标" xfId="727" xr:uid="{00000000-0005-0000-0000-000005030000}"/>
    <cellStyle name="_ET_STYLE_NoName_00__Book1" xfId="732" xr:uid="{00000000-0005-0000-0000-00000A030000}"/>
    <cellStyle name="_ET_STYLE_NoName_00__Book1 2" xfId="743" xr:uid="{00000000-0005-0000-0000-000015030000}"/>
    <cellStyle name="_ET_STYLE_NoName_00__Book1_1" xfId="751" xr:uid="{00000000-0005-0000-0000-00001D030000}"/>
    <cellStyle name="_ET_STYLE_NoName_00__Book1_1 2" xfId="755" xr:uid="{00000000-0005-0000-0000-000021030000}"/>
    <cellStyle name="_ET_STYLE_NoName_00__Book1_2" xfId="765" xr:uid="{00000000-0005-0000-0000-00002B030000}"/>
    <cellStyle name="_ET_STYLE_NoName_00__Book1_2 2" xfId="774" xr:uid="{00000000-0005-0000-0000-000034030000}"/>
    <cellStyle name="_ET_STYLE_NoName_00__Book1_2 3" xfId="782" xr:uid="{00000000-0005-0000-0000-00003C030000}"/>
    <cellStyle name="_ET_STYLE_NoName_00__Sheet3" xfId="94" xr:uid="{00000000-0005-0000-0000-000068000000}"/>
    <cellStyle name="_ET_STYLE_NoName_00__Sheet3 2" xfId="793" xr:uid="{00000000-0005-0000-0000-000047030000}"/>
    <cellStyle name="_ET_STYLE_NoName_00__成本2013" xfId="799" xr:uid="{00000000-0005-0000-0000-00004D030000}"/>
    <cellStyle name="_ET_STYLE_NoName_00__承赤15标预制梁分析" xfId="808" xr:uid="{00000000-0005-0000-0000-000056030000}"/>
    <cellStyle name="_ET_STYLE_NoName_00__承赤清单（修改）路基路面1标" xfId="816" xr:uid="{00000000-0005-0000-0000-00005E030000}"/>
    <cellStyle name="_ET_STYLE_NoName_00__承赤清单（修改）路基路面2标" xfId="780" xr:uid="{00000000-0005-0000-0000-00003A030000}"/>
    <cellStyle name="_ET_STYLE_NoName_00__承赤清单（修改）路基路面3标" xfId="823" xr:uid="{00000000-0005-0000-0000-000065030000}"/>
    <cellStyle name="_ET_STYLE_NoName_00__承赤清单（修改）路基路面4标" xfId="834" xr:uid="{00000000-0005-0000-0000-000070030000}"/>
    <cellStyle name="_ET_STYLE_NoName_00__承赤清单（修改）路基路面6标" xfId="208" xr:uid="{00000000-0005-0000-0000-0000EC000000}"/>
    <cellStyle name="_ET_STYLE_NoName_00__承赤清单1" xfId="849" xr:uid="{00000000-0005-0000-0000-00007F030000}"/>
    <cellStyle name="_ET_STYLE_NoName_00__承赤清单2" xfId="861" xr:uid="{00000000-0005-0000-0000-00008B030000}"/>
    <cellStyle name="_ET_STYLE_NoName_00__承赤清单3" xfId="888" xr:uid="{00000000-0005-0000-0000-0000A6030000}"/>
    <cellStyle name="_ET_STYLE_NoName_00__承赤清单4" xfId="900" xr:uid="{00000000-0005-0000-0000-0000B2030000}"/>
    <cellStyle name="_ET_STYLE_NoName_00__承赤清单6" xfId="904" xr:uid="{00000000-0005-0000-0000-0000B6030000}"/>
    <cellStyle name="_ET_STYLE_NoName_00__第三册-来马路工程量清单（机电）(2012.04.13)" xfId="915" xr:uid="{00000000-0005-0000-0000-0000C1030000}"/>
    <cellStyle name="_ET_STYLE_NoName_00__第三册-来马路工程量清单（机电）(2012.04.13) 2" xfId="924" xr:uid="{00000000-0005-0000-0000-0000CA030000}"/>
    <cellStyle name="_ET_STYLE_NoName_00__第一册-来马路工程量清单（土建）.造价部核" xfId="931" xr:uid="{00000000-0005-0000-0000-0000D1030000}"/>
    <cellStyle name="_ET_STYLE_NoName_00__第一册-来马路工程量清单（土建）.造价部核 2" xfId="938" xr:uid="{00000000-0005-0000-0000-0000D8030000}"/>
    <cellStyle name="_ET_STYLE_NoName_00__第一册-来马路工程量清单（土建）.造价部核 3" xfId="942" xr:uid="{00000000-0005-0000-0000-0000DC030000}"/>
    <cellStyle name="_ET_STYLE_NoName_00__验工计价制度附表" xfId="957" xr:uid="{00000000-0005-0000-0000-0000EB030000}"/>
    <cellStyle name="_成核表格（n）" xfId="947" xr:uid="{00000000-0005-0000-0000-0000E1030000}"/>
    <cellStyle name="_承赤4标7月份经济分析" xfId="963" xr:uid="{00000000-0005-0000-0000-0000F1030000}"/>
    <cellStyle name="_承赤四标5月份报表" xfId="967" xr:uid="{00000000-0005-0000-0000-0000F5030000}"/>
    <cellStyle name="_承赤四标6月份财务报表" xfId="971" xr:uid="{00000000-0005-0000-0000-0000F9030000}"/>
    <cellStyle name="_承赤四标7月份报表新公司" xfId="473" xr:uid="{00000000-0005-0000-0000-000007020000}"/>
    <cellStyle name="_第三册-来马路工程量清单（机电）(2012(1).04.13)" xfId="981" xr:uid="{00000000-0005-0000-0000-000003040000}"/>
    <cellStyle name="_第三册-来马路工程量清单（机电）(2012(1).04.13) 2" xfId="989" xr:uid="{00000000-0005-0000-0000-00000B040000}"/>
    <cellStyle name="_第一册 公路工程量 清单（马平2标）" xfId="994" xr:uid="{00000000-0005-0000-0000-000010040000}"/>
    <cellStyle name="_第一册 公路工程量 清单（马平2标） 2" xfId="1000" xr:uid="{00000000-0005-0000-0000-000016040000}"/>
    <cellStyle name="_第一册 公路工程量 清单（马平3标）" xfId="276" xr:uid="{00000000-0005-0000-0000-00003A010000}"/>
    <cellStyle name="_第一册 公路工程量 清单（马平3标） 2" xfId="1003" xr:uid="{00000000-0005-0000-0000-000019040000}"/>
    <cellStyle name="_第一册 公路工程量清单（马平4标）" xfId="1017" xr:uid="{00000000-0005-0000-0000-000027040000}"/>
    <cellStyle name="_第一册 公路工程量清单（马平4标） 2" xfId="966" xr:uid="{00000000-0005-0000-0000-0000F4030000}"/>
    <cellStyle name="_第一册-来马路工程量清单（土建）.造价部核" xfId="57" xr:uid="{00000000-0005-0000-0000-000042000000}"/>
    <cellStyle name="_第一册-来马路工程量清单（土建）.造价部核 2" xfId="1024" xr:uid="{00000000-0005-0000-0000-00002E040000}"/>
    <cellStyle name="_涵洞分解" xfId="1030" xr:uid="{00000000-0005-0000-0000-000034040000}"/>
    <cellStyle name="_接口表格" xfId="1039" xr:uid="{00000000-0005-0000-0000-00003D040000}"/>
    <cellStyle name="_劳务队材料对比分析表" xfId="1044" xr:uid="{00000000-0005-0000-0000-000042040000}"/>
    <cellStyle name="_马平路清单300" xfId="1049" xr:uid="{00000000-0005-0000-0000-000047040000}"/>
    <cellStyle name="_马平路清单300 2" xfId="1060" xr:uid="{00000000-0005-0000-0000-000052040000}"/>
    <cellStyle name="_马平路清单500" xfId="1067" xr:uid="{00000000-0005-0000-0000-000059040000}"/>
    <cellStyle name="_马平路清单500 2" xfId="1071" xr:uid="{00000000-0005-0000-0000-00005D040000}"/>
    <cellStyle name="_马平路清单600" xfId="1077" xr:uid="{00000000-0005-0000-0000-000063040000}"/>
    <cellStyle name="_马平路清单600 2" xfId="1080" xr:uid="{00000000-0005-0000-0000-000066040000}"/>
    <cellStyle name="_马平路清单700" xfId="638" xr:uid="{00000000-0005-0000-0000-0000AC020000}"/>
    <cellStyle name="_马平路清单700 2" xfId="657" xr:uid="{00000000-0005-0000-0000-0000BF020000}"/>
    <cellStyle name="_弱电系统设备配置报价清单" xfId="317" xr:uid="{00000000-0005-0000-0000-00006A010000}"/>
    <cellStyle name="_弱电系统设备配置报价清单 2" xfId="1083" xr:uid="{00000000-0005-0000-0000-000069040000}"/>
    <cellStyle name="0,0_x005f_x000d__x005f_x000a_NA_x005f_x000d__x005f_x000a_" xfId="1090" xr:uid="{00000000-0005-0000-0000-000070040000}"/>
    <cellStyle name="20% - Accent1" xfId="928" xr:uid="{00000000-0005-0000-0000-0000CE030000}"/>
    <cellStyle name="20% - Accent1 2" xfId="935" xr:uid="{00000000-0005-0000-0000-0000D5030000}"/>
    <cellStyle name="20% - Accent2" xfId="1095" xr:uid="{00000000-0005-0000-0000-000075040000}"/>
    <cellStyle name="20% - Accent2 2" xfId="1111" xr:uid="{00000000-0005-0000-0000-000085040000}"/>
    <cellStyle name="20% - Accent3" xfId="1120" xr:uid="{00000000-0005-0000-0000-00008E040000}"/>
    <cellStyle name="20% - Accent3 2" xfId="222" xr:uid="{00000000-0005-0000-0000-0000FB000000}"/>
    <cellStyle name="20% - Accent4" xfId="1129" xr:uid="{00000000-0005-0000-0000-000097040000}"/>
    <cellStyle name="20% - Accent4 2" xfId="1134" xr:uid="{00000000-0005-0000-0000-00009C040000}"/>
    <cellStyle name="20% - Accent5" xfId="1140" xr:uid="{00000000-0005-0000-0000-0000A2040000}"/>
    <cellStyle name="20% - Accent5 2" xfId="1146" xr:uid="{00000000-0005-0000-0000-0000A8040000}"/>
    <cellStyle name="20% - Accent6" xfId="1156" xr:uid="{00000000-0005-0000-0000-0000B2040000}"/>
    <cellStyle name="20% - Accent6 2" xfId="1160" xr:uid="{00000000-0005-0000-0000-0000B6040000}"/>
    <cellStyle name="20% - 强调文字颜色 1 2" xfId="1069" xr:uid="{00000000-0005-0000-0000-00005B040000}"/>
    <cellStyle name="20% - 强调文字颜色 1 2 2" xfId="1074" xr:uid="{00000000-0005-0000-0000-000060040000}"/>
    <cellStyle name="20% - 强调文字颜色 1 2 2 2" xfId="1163" xr:uid="{00000000-0005-0000-0000-0000B9040000}"/>
    <cellStyle name="20% - 强调文字颜色 1 2 2 2 2" xfId="1165" xr:uid="{00000000-0005-0000-0000-0000BB040000}"/>
    <cellStyle name="20% - 强调文字颜色 1 2 3" xfId="1173" xr:uid="{00000000-0005-0000-0000-0000C3040000}"/>
    <cellStyle name="20% - 强调文字颜色 1 2 3 2" xfId="1178" xr:uid="{00000000-0005-0000-0000-0000C8040000}"/>
    <cellStyle name="20% - 强调文字颜色 1 3" xfId="934" xr:uid="{00000000-0005-0000-0000-0000D4030000}"/>
    <cellStyle name="20% - 强调文字颜色 1 3 2" xfId="760" xr:uid="{00000000-0005-0000-0000-000026030000}"/>
    <cellStyle name="20% - 强调文字颜色 1 4" xfId="940" xr:uid="{00000000-0005-0000-0000-0000DA030000}"/>
    <cellStyle name="20% - 强调文字颜色 2 2" xfId="1078" xr:uid="{00000000-0005-0000-0000-000064040000}"/>
    <cellStyle name="20% - 强调文字颜色 2 2 2" xfId="1081" xr:uid="{00000000-0005-0000-0000-000067040000}"/>
    <cellStyle name="20% - 强调文字颜色 2 2 2 2" xfId="1181" xr:uid="{00000000-0005-0000-0000-0000CB040000}"/>
    <cellStyle name="20% - 强调文字颜色 2 2 2 2 2" xfId="1186" xr:uid="{00000000-0005-0000-0000-0000D0040000}"/>
    <cellStyle name="20% - 强调文字颜色 2 2 3" xfId="1188" xr:uid="{00000000-0005-0000-0000-0000D2040000}"/>
    <cellStyle name="20% - 强调文字颜色 2 2 3 2" xfId="892" xr:uid="{00000000-0005-0000-0000-0000AA030000}"/>
    <cellStyle name="20% - 强调文字颜色 2 3" xfId="1112" xr:uid="{00000000-0005-0000-0000-000086040000}"/>
    <cellStyle name="20% - 强调文字颜色 2 3 2" xfId="1206" xr:uid="{00000000-0005-0000-0000-0000E4040000}"/>
    <cellStyle name="20% - 强调文字颜色 2 4" xfId="1207" xr:uid="{00000000-0005-0000-0000-0000E5040000}"/>
    <cellStyle name="20% - 强调文字颜色 3 2" xfId="635" xr:uid="{00000000-0005-0000-0000-0000A9020000}"/>
    <cellStyle name="20% - 强调文字颜色 3 2 2" xfId="652" xr:uid="{00000000-0005-0000-0000-0000BA020000}"/>
    <cellStyle name="20% - 强调文字颜色 3 2 2 2" xfId="1215" xr:uid="{00000000-0005-0000-0000-0000ED040000}"/>
    <cellStyle name="20% - 强调文字颜色 3 2 2 2 2" xfId="1220" xr:uid="{00000000-0005-0000-0000-0000F2040000}"/>
    <cellStyle name="20% - 强调文字颜色 3 2 3" xfId="672" xr:uid="{00000000-0005-0000-0000-0000CE020000}"/>
    <cellStyle name="20% - 强调文字颜色 3 2 3 2" xfId="1226" xr:uid="{00000000-0005-0000-0000-0000F8040000}"/>
    <cellStyle name="20% - 强调文字颜色 3 3" xfId="223" xr:uid="{00000000-0005-0000-0000-0000FC000000}"/>
    <cellStyle name="20% - 强调文字颜色 3 3 2" xfId="313" xr:uid="{00000000-0005-0000-0000-000065010000}"/>
    <cellStyle name="20% - 强调文字颜色 3 4" xfId="854" xr:uid="{00000000-0005-0000-0000-000084030000}"/>
    <cellStyle name="20% - 强调文字颜色 4 2" xfId="1230" xr:uid="{00000000-0005-0000-0000-0000FC040000}"/>
    <cellStyle name="20% - 强调文字颜色 4 2 2" xfId="1235" xr:uid="{00000000-0005-0000-0000-000001050000}"/>
    <cellStyle name="20% - 强调文字颜色 4 2 2 2" xfId="483" xr:uid="{00000000-0005-0000-0000-000011020000}"/>
    <cellStyle name="20% - 强调文字颜色 4 2 2 2 2" xfId="490" xr:uid="{00000000-0005-0000-0000-000018020000}"/>
    <cellStyle name="20% - 强调文字颜色 4 2 3" xfId="1244" xr:uid="{00000000-0005-0000-0000-00000A050000}"/>
    <cellStyle name="20% - 强调文字颜色 4 2 3 2" xfId="1249" xr:uid="{00000000-0005-0000-0000-00000F050000}"/>
    <cellStyle name="20% - 强调文字颜色 4 3" xfId="1135" xr:uid="{00000000-0005-0000-0000-00009D040000}"/>
    <cellStyle name="20% - 强调文字颜色 4 3 2" xfId="1252" xr:uid="{00000000-0005-0000-0000-000012050000}"/>
    <cellStyle name="20% - 强调文字颜色 4 4" xfId="1267" xr:uid="{00000000-0005-0000-0000-000021050000}"/>
    <cellStyle name="20% - 强调文字颜色 5 2" xfId="1273" xr:uid="{00000000-0005-0000-0000-000027050000}"/>
    <cellStyle name="20% - 强调文字颜色 5 2 2" xfId="439" xr:uid="{00000000-0005-0000-0000-0000E5010000}"/>
    <cellStyle name="20% - 强调文字颜色 5 2 2 2" xfId="336" xr:uid="{00000000-0005-0000-0000-00007E010000}"/>
    <cellStyle name="20% - 强调文字颜色 5 2 2 2 2" xfId="1284" xr:uid="{00000000-0005-0000-0000-000032050000}"/>
    <cellStyle name="20% - 强调文字颜色 5 2 3" xfId="1287" xr:uid="{00000000-0005-0000-0000-000035050000}"/>
    <cellStyle name="20% - 强调文字颜色 5 2 3 2" xfId="1289" xr:uid="{00000000-0005-0000-0000-000037050000}"/>
    <cellStyle name="20% - 强调文字颜色 5 3" xfId="1147" xr:uid="{00000000-0005-0000-0000-0000A9040000}"/>
    <cellStyle name="20% - 强调文字颜色 5 3 2" xfId="1291" xr:uid="{00000000-0005-0000-0000-000039050000}"/>
    <cellStyle name="20% - 强调文字颜色 5 4" xfId="1296" xr:uid="{00000000-0005-0000-0000-00003E050000}"/>
    <cellStyle name="20% - 强调文字颜色 6 2" xfId="1308" xr:uid="{00000000-0005-0000-0000-00004A050000}"/>
    <cellStyle name="20% - 强调文字颜色 6 2 2" xfId="802" xr:uid="{00000000-0005-0000-0000-000050030000}"/>
    <cellStyle name="20% - 强调文字颜色 6 2 2 2" xfId="1312" xr:uid="{00000000-0005-0000-0000-00004E050000}"/>
    <cellStyle name="20% - 强调文字颜色 6 2 2 2 2" xfId="818" xr:uid="{00000000-0005-0000-0000-000060030000}"/>
    <cellStyle name="20% - 强调文字颜色 6 2 3" xfId="576" xr:uid="{00000000-0005-0000-0000-00006E020000}"/>
    <cellStyle name="20% - 强调文字颜色 6 2 3 2" xfId="581" xr:uid="{00000000-0005-0000-0000-000073020000}"/>
    <cellStyle name="20% - 强调文字颜色 6 3" xfId="1161" xr:uid="{00000000-0005-0000-0000-0000B7040000}"/>
    <cellStyle name="20% - 强调文字颜色 6 3 2" xfId="1322" xr:uid="{00000000-0005-0000-0000-000058050000}"/>
    <cellStyle name="20% - 强调文字颜色 6 4" xfId="1329" xr:uid="{00000000-0005-0000-0000-00005F050000}"/>
    <cellStyle name="40% - Accent1" xfId="489" xr:uid="{00000000-0005-0000-0000-000017020000}"/>
    <cellStyle name="40% - Accent1 2" xfId="1332" xr:uid="{00000000-0005-0000-0000-000062050000}"/>
    <cellStyle name="40% - Accent2" xfId="1336" xr:uid="{00000000-0005-0000-0000-000066050000}"/>
    <cellStyle name="40% - Accent2 2" xfId="1342" xr:uid="{00000000-0005-0000-0000-00006C050000}"/>
    <cellStyle name="40% - Accent3" xfId="909" xr:uid="{00000000-0005-0000-0000-0000BB030000}"/>
    <cellStyle name="40% - Accent3 2" xfId="921" xr:uid="{00000000-0005-0000-0000-0000C7030000}"/>
    <cellStyle name="40% - Accent4" xfId="1346" xr:uid="{00000000-0005-0000-0000-000070050000}"/>
    <cellStyle name="40% - Accent4 2" xfId="1349" xr:uid="{00000000-0005-0000-0000-000073050000}"/>
    <cellStyle name="40% - Accent5" xfId="1354" xr:uid="{00000000-0005-0000-0000-000078050000}"/>
    <cellStyle name="40% - Accent5 2" xfId="897" xr:uid="{00000000-0005-0000-0000-0000AF030000}"/>
    <cellStyle name="40% - Accent6" xfId="1054" xr:uid="{00000000-0005-0000-0000-00004C040000}"/>
    <cellStyle name="40% - Accent6 2" xfId="1062" xr:uid="{00000000-0005-0000-0000-000054040000}"/>
    <cellStyle name="40% - 强调文字颜色 1 2" xfId="1358" xr:uid="{00000000-0005-0000-0000-00007C050000}"/>
    <cellStyle name="40% - 强调文字颜色 1 2 2" xfId="1361" xr:uid="{00000000-0005-0000-0000-00007F050000}"/>
    <cellStyle name="40% - 强调文字颜色 1 2 2 2" xfId="730" xr:uid="{00000000-0005-0000-0000-000008030000}"/>
    <cellStyle name="40% - 强调文字颜色 1 2 2 2 2" xfId="750" xr:uid="{00000000-0005-0000-0000-00001C030000}"/>
    <cellStyle name="40% - 强调文字颜色 1 2 3" xfId="1363" xr:uid="{00000000-0005-0000-0000-000081050000}"/>
    <cellStyle name="40% - 强调文字颜色 1 2 3 2" xfId="1368" xr:uid="{00000000-0005-0000-0000-000086050000}"/>
    <cellStyle name="40% - 强调文字颜色 1 3" xfId="1373" xr:uid="{00000000-0005-0000-0000-00008B050000}"/>
    <cellStyle name="40% - 强调文字颜色 1 3 2" xfId="1390" xr:uid="{00000000-0005-0000-0000-00009C050000}"/>
    <cellStyle name="40% - 强调文字颜色 1 4" xfId="1395" xr:uid="{00000000-0005-0000-0000-0000A1050000}"/>
    <cellStyle name="40% - 强调文字颜色 2 2" xfId="1168" xr:uid="{00000000-0005-0000-0000-0000BE040000}"/>
    <cellStyle name="40% - 强调文字颜色 2 2 2" xfId="1176" xr:uid="{00000000-0005-0000-0000-0000C6040000}"/>
    <cellStyle name="40% - 强调文字颜色 2 2 2 2" xfId="1398" xr:uid="{00000000-0005-0000-0000-0000A4050000}"/>
    <cellStyle name="40% - 强调文字颜色 2 2 2 2 2" xfId="1407" xr:uid="{00000000-0005-0000-0000-0000AD050000}"/>
    <cellStyle name="40% - 强调文字颜色 2 2 3" xfId="1412" xr:uid="{00000000-0005-0000-0000-0000B2050000}"/>
    <cellStyle name="40% - 强调文字颜色 2 2 3 2" xfId="1415" xr:uid="{00000000-0005-0000-0000-0000B5050000}"/>
    <cellStyle name="40% - 强调文字颜色 2 3" xfId="1418" xr:uid="{00000000-0005-0000-0000-0000B8050000}"/>
    <cellStyle name="40% - 强调文字颜色 2 3 2" xfId="1421" xr:uid="{00000000-0005-0000-0000-0000BB050000}"/>
    <cellStyle name="40% - 强调文字颜色 2 4" xfId="1426" xr:uid="{00000000-0005-0000-0000-0000C0050000}"/>
    <cellStyle name="40% - 强调文字颜色 3 2" xfId="1429" xr:uid="{00000000-0005-0000-0000-0000C3050000}"/>
    <cellStyle name="40% - 强调文字颜色 3 2 2" xfId="1432" xr:uid="{00000000-0005-0000-0000-0000C6050000}"/>
    <cellStyle name="40% - 强调文字颜色 3 2 2 2" xfId="1433" xr:uid="{00000000-0005-0000-0000-0000C7050000}"/>
    <cellStyle name="40% - 强调文字颜色 3 2 2 2 2" xfId="1435" xr:uid="{00000000-0005-0000-0000-0000C9050000}"/>
    <cellStyle name="40% - 强调文字颜色 3 2 3" xfId="1436" xr:uid="{00000000-0005-0000-0000-0000CA050000}"/>
    <cellStyle name="40% - 强调文字颜色 3 2 3 2" xfId="358" xr:uid="{00000000-0005-0000-0000-000094010000}"/>
    <cellStyle name="40% - 强调文字颜色 3 3" xfId="1437" xr:uid="{00000000-0005-0000-0000-0000CB050000}"/>
    <cellStyle name="40% - 强调文字颜色 3 3 2" xfId="1439" xr:uid="{00000000-0005-0000-0000-0000CD050000}"/>
    <cellStyle name="40% - 强调文字颜色 3 4" xfId="1443" xr:uid="{00000000-0005-0000-0000-0000D1050000}"/>
    <cellStyle name="40% - 强调文字颜色 4 2" xfId="178" xr:uid="{00000000-0005-0000-0000-0000C9000000}"/>
    <cellStyle name="40% - 强调文字颜色 4 2 2" xfId="1456" xr:uid="{00000000-0005-0000-0000-0000DE050000}"/>
    <cellStyle name="40% - 强调文字颜色 4 2 2 2" xfId="1463" xr:uid="{00000000-0005-0000-0000-0000E5050000}"/>
    <cellStyle name="40% - 强调文字颜色 4 2 2 2 2" xfId="1467" xr:uid="{00000000-0005-0000-0000-0000E9050000}"/>
    <cellStyle name="40% - 强调文字颜色 4 2 3" xfId="736" xr:uid="{00000000-0005-0000-0000-00000E030000}"/>
    <cellStyle name="40% - 强调文字颜色 4 2 3 2" xfId="234" xr:uid="{00000000-0005-0000-0000-000009010000}"/>
    <cellStyle name="40% - 强调文字颜色 4 3" xfId="1472" xr:uid="{00000000-0005-0000-0000-0000EE050000}"/>
    <cellStyle name="40% - 强调文字颜色 4 3 2" xfId="241" xr:uid="{00000000-0005-0000-0000-000012010000}"/>
    <cellStyle name="40% - 强调文字颜色 4 4" xfId="805" xr:uid="{00000000-0005-0000-0000-000053030000}"/>
    <cellStyle name="40% - 强调文字颜色 5 2" xfId="1483" xr:uid="{00000000-0005-0000-0000-0000F9050000}"/>
    <cellStyle name="40% - 强调文字颜色 5 2 2" xfId="1497" xr:uid="{00000000-0005-0000-0000-000007060000}"/>
    <cellStyle name="40% - 强调文字颜色 5 2 2 2" xfId="1501" xr:uid="{00000000-0005-0000-0000-00000B060000}"/>
    <cellStyle name="40% - 强调文字颜色 5 2 2 2 2" xfId="1505" xr:uid="{00000000-0005-0000-0000-00000F060000}"/>
    <cellStyle name="40% - 强调文字颜色 5 2 3" xfId="1510" xr:uid="{00000000-0005-0000-0000-000014060000}"/>
    <cellStyle name="40% - 强调文字颜色 5 2 3 2" xfId="908" xr:uid="{00000000-0005-0000-0000-0000BA030000}"/>
    <cellStyle name="40% - 强调文字颜色 5 3" xfId="1515" xr:uid="{00000000-0005-0000-0000-000019060000}"/>
    <cellStyle name="40% - 强调文字颜色 5 3 2" xfId="1521" xr:uid="{00000000-0005-0000-0000-00001F060000}"/>
    <cellStyle name="40% - 强调文字颜色 5 4" xfId="1318" xr:uid="{00000000-0005-0000-0000-000054050000}"/>
    <cellStyle name="40% - 强调文字颜色 6 2" xfId="1086" xr:uid="{00000000-0005-0000-0000-00006C040000}"/>
    <cellStyle name="40% - 强调文字颜色 6 2 2" xfId="1532" xr:uid="{00000000-0005-0000-0000-00002A060000}"/>
    <cellStyle name="40% - 强调文字颜色 6 2 2 2" xfId="1539" xr:uid="{00000000-0005-0000-0000-000031060000}"/>
    <cellStyle name="40% - 强调文字颜色 6 2 2 2 2" xfId="1542" xr:uid="{00000000-0005-0000-0000-000034060000}"/>
    <cellStyle name="40% - 强调文字颜色 6 2 3" xfId="1553" xr:uid="{00000000-0005-0000-0000-00003F060000}"/>
    <cellStyle name="40% - 强调文字颜色 6 2 3 2" xfId="1562" xr:uid="{00000000-0005-0000-0000-000048060000}"/>
    <cellStyle name="40% - 强调文字颜色 6 3" xfId="1565" xr:uid="{00000000-0005-0000-0000-00004B060000}"/>
    <cellStyle name="40% - 强调文字颜色 6 3 2" xfId="1568" xr:uid="{00000000-0005-0000-0000-00004E060000}"/>
    <cellStyle name="40% - 强调文字颜色 6 4" xfId="1573" xr:uid="{00000000-0005-0000-0000-000053060000}"/>
    <cellStyle name="60% - Accent1" xfId="1575" xr:uid="{00000000-0005-0000-0000-000055060000}"/>
    <cellStyle name="60% - Accent1 2" xfId="1581" xr:uid="{00000000-0005-0000-0000-00005B060000}"/>
    <cellStyle name="60% - Accent1 2 2" xfId="1593" xr:uid="{00000000-0005-0000-0000-000067060000}"/>
    <cellStyle name="60% - Accent2" xfId="724" xr:uid="{00000000-0005-0000-0000-000002030000}"/>
    <cellStyle name="60% - Accent2 2" xfId="1596" xr:uid="{00000000-0005-0000-0000-00006A060000}"/>
    <cellStyle name="60% - Accent2 2 2" xfId="1599" xr:uid="{00000000-0005-0000-0000-00006D060000}"/>
    <cellStyle name="60% - Accent3" xfId="1601" xr:uid="{00000000-0005-0000-0000-00006F060000}"/>
    <cellStyle name="60% - Accent3 2" xfId="1608" xr:uid="{00000000-0005-0000-0000-000076060000}"/>
    <cellStyle name="60% - Accent3 2 2" xfId="1611" xr:uid="{00000000-0005-0000-0000-000079060000}"/>
    <cellStyle name="60% - Accent4" xfId="1615" xr:uid="{00000000-0005-0000-0000-00007D060000}"/>
    <cellStyle name="60% - Accent4 2" xfId="1619" xr:uid="{00000000-0005-0000-0000-000081060000}"/>
    <cellStyle name="60% - Accent4 2 2" xfId="1621" xr:uid="{00000000-0005-0000-0000-000083060000}"/>
    <cellStyle name="60% - Accent5" xfId="1010" xr:uid="{00000000-0005-0000-0000-000020040000}"/>
    <cellStyle name="60% - Accent5 2" xfId="1622" xr:uid="{00000000-0005-0000-0000-000084060000}"/>
    <cellStyle name="60% - Accent5 2 2" xfId="1623" xr:uid="{00000000-0005-0000-0000-000085060000}"/>
    <cellStyle name="60% - Accent6" xfId="1627" xr:uid="{00000000-0005-0000-0000-000089060000}"/>
    <cellStyle name="60% - Accent6 2" xfId="1635" xr:uid="{00000000-0005-0000-0000-000091060000}"/>
    <cellStyle name="60% - Accent6 2 2" xfId="1639" xr:uid="{00000000-0005-0000-0000-000095060000}"/>
    <cellStyle name="60% - 强调文字颜色 1 2" xfId="841" xr:uid="{00000000-0005-0000-0000-000077030000}"/>
    <cellStyle name="60% - 强调文字颜色 1 2 2" xfId="975" xr:uid="{00000000-0005-0000-0000-0000FD030000}"/>
    <cellStyle name="60% - 强调文字颜色 1 2 2 2" xfId="985" xr:uid="{00000000-0005-0000-0000-000007040000}"/>
    <cellStyle name="60% - 强调文字颜色 1 2 2 2 2" xfId="1640" xr:uid="{00000000-0005-0000-0000-000096060000}"/>
    <cellStyle name="60% - 强调文字颜色 1 2 3" xfId="1648" xr:uid="{00000000-0005-0000-0000-00009E060000}"/>
    <cellStyle name="60% - 强调文字颜色 1 2 3 2" xfId="1652" xr:uid="{00000000-0005-0000-0000-0000A2060000}"/>
    <cellStyle name="60% - 强调文字颜色 1 3" xfId="867" xr:uid="{00000000-0005-0000-0000-000091030000}"/>
    <cellStyle name="60% - 强调文字颜色 1 3 2" xfId="1664" xr:uid="{00000000-0005-0000-0000-0000AE060000}"/>
    <cellStyle name="60% - 强调文字颜色 1 3 2 2" xfId="1675" xr:uid="{00000000-0005-0000-0000-0000B9060000}"/>
    <cellStyle name="60% - 强调文字颜色 1 4" xfId="876" xr:uid="{00000000-0005-0000-0000-00009A030000}"/>
    <cellStyle name="60% - 强调文字颜色 2 2" xfId="1264" xr:uid="{00000000-0005-0000-0000-00001E050000}"/>
    <cellStyle name="60% - 强调文字颜色 2 2 2" xfId="131" xr:uid="{00000000-0005-0000-0000-000091000000}"/>
    <cellStyle name="60% - 强调文字颜色 2 2 2 2" xfId="145" xr:uid="{00000000-0005-0000-0000-0000A2000000}"/>
    <cellStyle name="60% - 强调文字颜色 2 2 2 2 2" xfId="1679" xr:uid="{00000000-0005-0000-0000-0000BD060000}"/>
    <cellStyle name="60% - 强调文字颜色 2 2 3" xfId="1685" xr:uid="{00000000-0005-0000-0000-0000C3060000}"/>
    <cellStyle name="60% - 强调文字颜色 2 2 3 2" xfId="1122" xr:uid="{00000000-0005-0000-0000-000090040000}"/>
    <cellStyle name="60% - 强调文字颜色 2 3" xfId="101" xr:uid="{00000000-0005-0000-0000-000070000000}"/>
    <cellStyle name="60% - 强调文字颜色 2 3 2" xfId="790" xr:uid="{00000000-0005-0000-0000-000044030000}"/>
    <cellStyle name="60% - 强调文字颜色 2 3 2 2" xfId="1687" xr:uid="{00000000-0005-0000-0000-0000C5060000}"/>
    <cellStyle name="60% - 强调文字颜色 2 4" xfId="1589" xr:uid="{00000000-0005-0000-0000-000063060000}"/>
    <cellStyle name="60% - 强调文字颜色 3 2" xfId="1304" xr:uid="{00000000-0005-0000-0000-000046050000}"/>
    <cellStyle name="60% - 强调文字颜色 3 2 2" xfId="1100" xr:uid="{00000000-0005-0000-0000-00007A040000}"/>
    <cellStyle name="60% - 强调文字颜色 3 2 2 2" xfId="1108" xr:uid="{00000000-0005-0000-0000-000082040000}"/>
    <cellStyle name="60% - 强调文字颜色 3 2 2 2 2" xfId="1199" xr:uid="{00000000-0005-0000-0000-0000DD040000}"/>
    <cellStyle name="60% - 强调文字颜色 3 2 3" xfId="1119" xr:uid="{00000000-0005-0000-0000-00008D040000}"/>
    <cellStyle name="60% - 强调文字颜色 3 2 3 2" xfId="227" xr:uid="{00000000-0005-0000-0000-000001010000}"/>
    <cellStyle name="60% - 强调文字颜色 3 3" xfId="455" xr:uid="{00000000-0005-0000-0000-0000F5010000}"/>
    <cellStyle name="60% - 强调文字颜色 3 3 2" xfId="1696" xr:uid="{00000000-0005-0000-0000-0000CE060000}"/>
    <cellStyle name="60% - 强调文字颜色 3 3 2 2" xfId="1703" xr:uid="{00000000-0005-0000-0000-0000D5060000}"/>
    <cellStyle name="60% - 强调文字颜色 3 4" xfId="1718" xr:uid="{00000000-0005-0000-0000-0000E4060000}"/>
    <cellStyle name="60% - 强调文字颜色 4 2" xfId="1328" xr:uid="{00000000-0005-0000-0000-00005E050000}"/>
    <cellStyle name="60% - 强调文字颜色 4 2 2" xfId="1571" xr:uid="{00000000-0005-0000-0000-000051060000}"/>
    <cellStyle name="60% - 强调文字颜色 4 2 2 2" xfId="92" xr:uid="{00000000-0005-0000-0000-000066000000}"/>
    <cellStyle name="60% - 强调文字颜色 4 2 2 2 2" xfId="1733" xr:uid="{00000000-0005-0000-0000-0000F3060000}"/>
    <cellStyle name="60% - 强调文字颜色 4 2 3" xfId="211" xr:uid="{00000000-0005-0000-0000-0000EF000000}"/>
    <cellStyle name="60% - 强调文字颜色 4 2 3 2" xfId="1736" xr:uid="{00000000-0005-0000-0000-0000F6060000}"/>
    <cellStyle name="60% - 强调文字颜色 4 3" xfId="1496" xr:uid="{00000000-0005-0000-0000-000006060000}"/>
    <cellStyle name="60% - 强调文字颜色 4 3 2" xfId="1499" xr:uid="{00000000-0005-0000-0000-000009060000}"/>
    <cellStyle name="60% - 强调文字颜色 4 3 2 2" xfId="1502" xr:uid="{00000000-0005-0000-0000-00000C060000}"/>
    <cellStyle name="60% - 强调文字颜色 4 4" xfId="1508" xr:uid="{00000000-0005-0000-0000-000012060000}"/>
    <cellStyle name="60% - 强调文字颜色 5 2" xfId="1738" xr:uid="{00000000-0005-0000-0000-0000F8060000}"/>
    <cellStyle name="60% - 强调文字颜色 5 2 2" xfId="1741" xr:uid="{00000000-0005-0000-0000-0000FB060000}"/>
    <cellStyle name="60% - 强调文字颜色 5 2 2 2" xfId="296" xr:uid="{00000000-0005-0000-0000-000052010000}"/>
    <cellStyle name="60% - 强调文字颜色 5 2 2 2 2" xfId="1482" xr:uid="{00000000-0005-0000-0000-0000F8050000}"/>
    <cellStyle name="60% - 强调文字颜色 5 2 3" xfId="687" xr:uid="{00000000-0005-0000-0000-0000DD020000}"/>
    <cellStyle name="60% - 强调文字颜色 5 2 3 2" xfId="694" xr:uid="{00000000-0005-0000-0000-0000E4020000}"/>
    <cellStyle name="60% - 强调文字颜色 5 3" xfId="1517" xr:uid="{00000000-0005-0000-0000-00001B060000}"/>
    <cellStyle name="60% - 强调文字颜色 5 3 2" xfId="1744" xr:uid="{00000000-0005-0000-0000-0000FE060000}"/>
    <cellStyle name="60% - 强调文字颜色 5 3 2 2" xfId="1747" xr:uid="{00000000-0005-0000-0000-000001070000}"/>
    <cellStyle name="60% - 强调文字颜色 5 4" xfId="1751" xr:uid="{00000000-0005-0000-0000-000005070000}"/>
    <cellStyle name="60% - 强调文字颜色 6 2" xfId="1756" xr:uid="{00000000-0005-0000-0000-00000A070000}"/>
    <cellStyle name="60% - 强调文字颜色 6 2 2" xfId="383" xr:uid="{00000000-0005-0000-0000-0000AD010000}"/>
    <cellStyle name="60% - 强调文字颜色 6 2 2 2" xfId="1423" xr:uid="{00000000-0005-0000-0000-0000BD050000}"/>
    <cellStyle name="60% - 强调文字颜色 6 2 2 2 2" xfId="1768" xr:uid="{00000000-0005-0000-0000-000016070000}"/>
    <cellStyle name="60% - 强调文字颜色 6 2 3" xfId="1775" xr:uid="{00000000-0005-0000-0000-00001D070000}"/>
    <cellStyle name="60% - 强调文字颜色 6 2 3 2" xfId="1440" xr:uid="{00000000-0005-0000-0000-0000CE050000}"/>
    <cellStyle name="60% - 强调文字颜色 6 3" xfId="1778" xr:uid="{00000000-0005-0000-0000-000020070000}"/>
    <cellStyle name="60% - 强调文字颜色 6 3 2" xfId="63" xr:uid="{00000000-0005-0000-0000-000048000000}"/>
    <cellStyle name="60% - 强调文字颜色 6 3 2 2" xfId="1019" xr:uid="{00000000-0005-0000-0000-000029040000}"/>
    <cellStyle name="60% - 强调文字颜色 6 4" xfId="1785" xr:uid="{00000000-0005-0000-0000-000027070000}"/>
    <cellStyle name="6mal" xfId="1790" xr:uid="{00000000-0005-0000-0000-00002C070000}"/>
    <cellStyle name="6mal 2" xfId="941" xr:uid="{00000000-0005-0000-0000-0000DB030000}"/>
    <cellStyle name="Accent1" xfId="1371" xr:uid="{00000000-0005-0000-0000-000089050000}"/>
    <cellStyle name="Accent1 - 20%" xfId="927" xr:uid="{00000000-0005-0000-0000-0000CD030000}"/>
    <cellStyle name="Accent1 - 20% 2" xfId="933" xr:uid="{00000000-0005-0000-0000-0000D3030000}"/>
    <cellStyle name="Accent1 - 20% 2 2" xfId="759" xr:uid="{00000000-0005-0000-0000-000025030000}"/>
    <cellStyle name="Accent1 - 20% 3" xfId="939" xr:uid="{00000000-0005-0000-0000-0000D9030000}"/>
    <cellStyle name="Accent1 - 40%" xfId="1793" xr:uid="{00000000-0005-0000-0000-00002F070000}"/>
    <cellStyle name="Accent1 - 40% 2" xfId="1796" xr:uid="{00000000-0005-0000-0000-000032070000}"/>
    <cellStyle name="Accent1 - 40% 2 2" xfId="1810" xr:uid="{00000000-0005-0000-0000-000040070000}"/>
    <cellStyle name="Accent1 - 40% 3" xfId="1813" xr:uid="{00000000-0005-0000-0000-000043070000}"/>
    <cellStyle name="Accent1 - 60%" xfId="825" xr:uid="{00000000-0005-0000-0000-000067030000}"/>
    <cellStyle name="Accent1 - 60% 2" xfId="1818" xr:uid="{00000000-0005-0000-0000-000048070000}"/>
    <cellStyle name="Accent1 - 60% 2 2" xfId="135" xr:uid="{00000000-0005-0000-0000-000097000000}"/>
    <cellStyle name="Accent1 - 60% 3" xfId="1821" xr:uid="{00000000-0005-0000-0000-00004B070000}"/>
    <cellStyle name="Accent1 10" xfId="1279" xr:uid="{00000000-0005-0000-0000-00002D050000}"/>
    <cellStyle name="Accent1 10 2" xfId="437" xr:uid="{00000000-0005-0000-0000-0000E3010000}"/>
    <cellStyle name="Accent1 11" xfId="1152" xr:uid="{00000000-0005-0000-0000-0000AE040000}"/>
    <cellStyle name="Accent1 11 2" xfId="1295" xr:uid="{00000000-0005-0000-0000-00003D050000}"/>
    <cellStyle name="Accent1 12" xfId="1300" xr:uid="{00000000-0005-0000-0000-000042050000}"/>
    <cellStyle name="Accent1 12 2" xfId="1097" xr:uid="{00000000-0005-0000-0000-000077040000}"/>
    <cellStyle name="Accent1 13" xfId="461" xr:uid="{00000000-0005-0000-0000-0000FB010000}"/>
    <cellStyle name="Accent1 13 2" xfId="1692" xr:uid="{00000000-0005-0000-0000-0000CA060000}"/>
    <cellStyle name="Accent1 14" xfId="1708" xr:uid="{00000000-0005-0000-0000-0000DA060000}"/>
    <cellStyle name="Accent1 14 2" xfId="1825" xr:uid="{00000000-0005-0000-0000-00004F070000}"/>
    <cellStyle name="Accent1 15" xfId="1092" xr:uid="{00000000-0005-0000-0000-000072040000}"/>
    <cellStyle name="Accent1 15 2" xfId="1827" xr:uid="{00000000-0005-0000-0000-000051070000}"/>
    <cellStyle name="Accent1 16" xfId="1829" xr:uid="{00000000-0005-0000-0000-000053070000}"/>
    <cellStyle name="Accent1 16 2" xfId="1832" xr:uid="{00000000-0005-0000-0000-000056070000}"/>
    <cellStyle name="Accent1 17" xfId="1576" xr:uid="{00000000-0005-0000-0000-000056060000}"/>
    <cellStyle name="Accent1 17 2" xfId="1582" xr:uid="{00000000-0005-0000-0000-00005C060000}"/>
    <cellStyle name="Accent1 18" xfId="723" xr:uid="{00000000-0005-0000-0000-000001030000}"/>
    <cellStyle name="Accent1 18 2" xfId="1597" xr:uid="{00000000-0005-0000-0000-00006B060000}"/>
    <cellStyle name="Accent1 19" xfId="1602" xr:uid="{00000000-0005-0000-0000-000070060000}"/>
    <cellStyle name="Accent1 19 2" xfId="1609" xr:uid="{00000000-0005-0000-0000-000077060000}"/>
    <cellStyle name="Accent1 2" xfId="1387" xr:uid="{00000000-0005-0000-0000-000099050000}"/>
    <cellStyle name="Accent1 2 2" xfId="1837" xr:uid="{00000000-0005-0000-0000-00005B070000}"/>
    <cellStyle name="Accent1 20" xfId="1093" xr:uid="{00000000-0005-0000-0000-000073040000}"/>
    <cellStyle name="Accent1 21" xfId="1830" xr:uid="{00000000-0005-0000-0000-000054070000}"/>
    <cellStyle name="Accent1 3" xfId="1842" xr:uid="{00000000-0005-0000-0000-000060070000}"/>
    <cellStyle name="Accent1 3 2" xfId="1850" xr:uid="{00000000-0005-0000-0000-000068070000}"/>
    <cellStyle name="Accent1 4" xfId="1854" xr:uid="{00000000-0005-0000-0000-00006C070000}"/>
    <cellStyle name="Accent1 4 2" xfId="616" xr:uid="{00000000-0005-0000-0000-000096020000}"/>
    <cellStyle name="Accent1 5" xfId="10" xr:uid="{00000000-0005-0000-0000-00000E000000}"/>
    <cellStyle name="Accent1 5 2" xfId="1856" xr:uid="{00000000-0005-0000-0000-00006E070000}"/>
    <cellStyle name="Accent1 6" xfId="1861" xr:uid="{00000000-0005-0000-0000-000073070000}"/>
    <cellStyle name="Accent1 6 2" xfId="1864" xr:uid="{00000000-0005-0000-0000-000076070000}"/>
    <cellStyle name="Accent1 7" xfId="1877" xr:uid="{00000000-0005-0000-0000-000083070000}"/>
    <cellStyle name="Accent1 7 2" xfId="1771" xr:uid="{00000000-0005-0000-0000-000019070000}"/>
    <cellStyle name="Accent1 8" xfId="1882" xr:uid="{00000000-0005-0000-0000-000088070000}"/>
    <cellStyle name="Accent1 8 2" xfId="1888" xr:uid="{00000000-0005-0000-0000-00008E070000}"/>
    <cellStyle name="Accent1 9" xfId="548" xr:uid="{00000000-0005-0000-0000-000052020000}"/>
    <cellStyle name="Accent1 9 2" xfId="556" xr:uid="{00000000-0005-0000-0000-00005A020000}"/>
    <cellStyle name="Accent1_公安安全支出补充表5.14" xfId="1890" xr:uid="{00000000-0005-0000-0000-000090070000}"/>
    <cellStyle name="Accent2" xfId="1394" xr:uid="{00000000-0005-0000-0000-0000A0050000}"/>
    <cellStyle name="Accent2 - 20%" xfId="535" xr:uid="{00000000-0005-0000-0000-000045020000}"/>
    <cellStyle name="Accent2 - 20% 2" xfId="542" xr:uid="{00000000-0005-0000-0000-00004C020000}"/>
    <cellStyle name="Accent2 - 20% 2 2" xfId="1898" xr:uid="{00000000-0005-0000-0000-000098070000}"/>
    <cellStyle name="Accent2 - 20% 3" xfId="512" xr:uid="{00000000-0005-0000-0000-00002E020000}"/>
    <cellStyle name="Accent2 - 40%" xfId="19" xr:uid="{00000000-0005-0000-0000-000017000000}"/>
    <cellStyle name="Accent2 - 40% 2" xfId="265" xr:uid="{00000000-0005-0000-0000-00002E010000}"/>
    <cellStyle name="Accent2 - 40% 2 2" xfId="1906" xr:uid="{00000000-0005-0000-0000-0000A0070000}"/>
    <cellStyle name="Accent2 - 40% 3" xfId="278" xr:uid="{00000000-0005-0000-0000-00003C010000}"/>
    <cellStyle name="Accent2 - 60%" xfId="66" xr:uid="{00000000-0005-0000-0000-00004B000000}"/>
    <cellStyle name="Accent2 - 60% 2" xfId="1020" xr:uid="{00000000-0005-0000-0000-00002A040000}"/>
    <cellStyle name="Accent2 - 60% 2 2" xfId="1710" xr:uid="{00000000-0005-0000-0000-0000DC060000}"/>
    <cellStyle name="Accent2 - 60% 3" xfId="1365" xr:uid="{00000000-0005-0000-0000-000083050000}"/>
    <cellStyle name="Accent2 10" xfId="1914" xr:uid="{00000000-0005-0000-0000-0000A8070000}"/>
    <cellStyle name="Accent2 10 2" xfId="1141" xr:uid="{00000000-0005-0000-0000-0000A3040000}"/>
    <cellStyle name="Accent2 11" xfId="1917" xr:uid="{00000000-0005-0000-0000-0000AB070000}"/>
    <cellStyle name="Accent2 11 2" xfId="1919" xr:uid="{00000000-0005-0000-0000-0000AD070000}"/>
    <cellStyle name="Accent2 12" xfId="1800" xr:uid="{00000000-0005-0000-0000-000036070000}"/>
    <cellStyle name="Accent2 12 2" xfId="1804" xr:uid="{00000000-0005-0000-0000-00003A070000}"/>
    <cellStyle name="Accent2 13" xfId="1816" xr:uid="{00000000-0005-0000-0000-000046070000}"/>
    <cellStyle name="Accent2 13 2" xfId="430" xr:uid="{00000000-0005-0000-0000-0000DC010000}"/>
    <cellStyle name="Accent2 14" xfId="1922" xr:uid="{00000000-0005-0000-0000-0000B0070000}"/>
    <cellStyle name="Accent2 14 2" xfId="1927" xr:uid="{00000000-0005-0000-0000-0000B5070000}"/>
    <cellStyle name="Accent2 15" xfId="1932" xr:uid="{00000000-0005-0000-0000-0000BA070000}"/>
    <cellStyle name="Accent2 15 2" xfId="1938" xr:uid="{00000000-0005-0000-0000-0000C0070000}"/>
    <cellStyle name="Accent2 16" xfId="1942" xr:uid="{00000000-0005-0000-0000-0000C4070000}"/>
    <cellStyle name="Accent2 16 2" xfId="1948" xr:uid="{00000000-0005-0000-0000-0000CA070000}"/>
    <cellStyle name="Accent2 17" xfId="1953" xr:uid="{00000000-0005-0000-0000-0000CF070000}"/>
    <cellStyle name="Accent2 17 2" xfId="1960" xr:uid="{00000000-0005-0000-0000-0000D6070000}"/>
    <cellStyle name="Accent2 18" xfId="1961" xr:uid="{00000000-0005-0000-0000-0000D7070000}"/>
    <cellStyle name="Accent2 18 2" xfId="1965" xr:uid="{00000000-0005-0000-0000-0000DB070000}"/>
    <cellStyle name="Accent2 19" xfId="42" xr:uid="{00000000-0005-0000-0000-000031000000}"/>
    <cellStyle name="Accent2 19 2" xfId="1968" xr:uid="{00000000-0005-0000-0000-0000DE070000}"/>
    <cellStyle name="Accent2 2" xfId="1981" xr:uid="{00000000-0005-0000-0000-0000EB070000}"/>
    <cellStyle name="Accent2 2 2" xfId="1631" xr:uid="{00000000-0005-0000-0000-00008D060000}"/>
    <cellStyle name="Accent2 20" xfId="1933" xr:uid="{00000000-0005-0000-0000-0000BB070000}"/>
    <cellStyle name="Accent2 21" xfId="1943" xr:uid="{00000000-0005-0000-0000-0000C5070000}"/>
    <cellStyle name="Accent2 3" xfId="1986" xr:uid="{00000000-0005-0000-0000-0000F0070000}"/>
    <cellStyle name="Accent2 3 2" xfId="1989" xr:uid="{00000000-0005-0000-0000-0000F3070000}"/>
    <cellStyle name="Accent2 4" xfId="794" xr:uid="{00000000-0005-0000-0000-000048030000}"/>
    <cellStyle name="Accent2 4 2" xfId="1993" xr:uid="{00000000-0005-0000-0000-0000F7070000}"/>
    <cellStyle name="Accent2 5" xfId="1529" xr:uid="{00000000-0005-0000-0000-000027060000}"/>
    <cellStyle name="Accent2 5 2" xfId="1535" xr:uid="{00000000-0005-0000-0000-00002D060000}"/>
    <cellStyle name="Accent2 6" xfId="1550" xr:uid="{00000000-0005-0000-0000-00003C060000}"/>
    <cellStyle name="Accent2 6 2" xfId="1556" xr:uid="{00000000-0005-0000-0000-000042060000}"/>
    <cellStyle name="Accent2 7" xfId="2000" xr:uid="{00000000-0005-0000-0000-0000FE070000}"/>
    <cellStyle name="Accent2 7 2" xfId="2011" xr:uid="{00000000-0005-0000-0000-000009080000}"/>
    <cellStyle name="Accent2 8" xfId="464" xr:uid="{00000000-0005-0000-0000-0000FE010000}"/>
    <cellStyle name="Accent2 8 2" xfId="2019" xr:uid="{00000000-0005-0000-0000-000011080000}"/>
    <cellStyle name="Accent2 9" xfId="403" xr:uid="{00000000-0005-0000-0000-0000C1010000}"/>
    <cellStyle name="Accent2 9 2" xfId="422" xr:uid="{00000000-0005-0000-0000-0000D4010000}"/>
    <cellStyle name="Accent2_公安安全支出补充表5.14" xfId="2022" xr:uid="{00000000-0005-0000-0000-000014080000}"/>
    <cellStyle name="Accent3" xfId="2026" xr:uid="{00000000-0005-0000-0000-000018080000}"/>
    <cellStyle name="Accent3 - 20%" xfId="368" xr:uid="{00000000-0005-0000-0000-00009E010000}"/>
    <cellStyle name="Accent3 - 20% 2" xfId="2039" xr:uid="{00000000-0005-0000-0000-000025080000}"/>
    <cellStyle name="Accent3 - 20% 2 2" xfId="2041" xr:uid="{00000000-0005-0000-0000-000027080000}"/>
    <cellStyle name="Accent3 - 20% 3" xfId="2058" xr:uid="{00000000-0005-0000-0000-000038080000}"/>
    <cellStyle name="Accent3 - 40%" xfId="2062" xr:uid="{00000000-0005-0000-0000-00003C080000}"/>
    <cellStyle name="Accent3 - 40% 2" xfId="2076" xr:uid="{00000000-0005-0000-0000-00004A080000}"/>
    <cellStyle name="Accent3 - 40% 2 2" xfId="2080" xr:uid="{00000000-0005-0000-0000-00004E080000}"/>
    <cellStyle name="Accent3 - 40% 3" xfId="2082" xr:uid="{00000000-0005-0000-0000-000050080000}"/>
    <cellStyle name="Accent3 - 60%" xfId="1720" xr:uid="{00000000-0005-0000-0000-0000E6060000}"/>
    <cellStyle name="Accent3 - 60% 2" xfId="2085" xr:uid="{00000000-0005-0000-0000-000053080000}"/>
    <cellStyle name="Accent3 - 60% 2 2" xfId="2097" xr:uid="{00000000-0005-0000-0000-00005F080000}"/>
    <cellStyle name="Accent3 - 60% 3" xfId="2102" xr:uid="{00000000-0005-0000-0000-000064080000}"/>
    <cellStyle name="Accent3 10" xfId="2104" xr:uid="{00000000-0005-0000-0000-000066080000}"/>
    <cellStyle name="Accent3 10 2" xfId="2114" xr:uid="{00000000-0005-0000-0000-000070080000}"/>
    <cellStyle name="Accent3 11" xfId="1762" xr:uid="{00000000-0005-0000-0000-000010070000}"/>
    <cellStyle name="Accent3 11 2" xfId="220" xr:uid="{00000000-0005-0000-0000-0000F9000000}"/>
    <cellStyle name="Accent3 12" xfId="2110" xr:uid="{00000000-0005-0000-0000-00006C080000}"/>
    <cellStyle name="Accent3 12 2" xfId="2118" xr:uid="{00000000-0005-0000-0000-000074080000}"/>
    <cellStyle name="Accent3 13" xfId="2090" xr:uid="{00000000-0005-0000-0000-000058080000}"/>
    <cellStyle name="Accent3 13 2" xfId="2133" xr:uid="{00000000-0005-0000-0000-000083080000}"/>
    <cellStyle name="Accent3 14" xfId="2153" xr:uid="{00000000-0005-0000-0000-000097080000}"/>
    <cellStyle name="Accent3 14 2" xfId="2047" xr:uid="{00000000-0005-0000-0000-00002D080000}"/>
    <cellStyle name="Accent3 15" xfId="593" xr:uid="{00000000-0005-0000-0000-00007F020000}"/>
    <cellStyle name="Accent3 15 2" xfId="602" xr:uid="{00000000-0005-0000-0000-000088020000}"/>
    <cellStyle name="Accent3 16" xfId="2159" xr:uid="{00000000-0005-0000-0000-00009D080000}"/>
    <cellStyle name="Accent3 16 2" xfId="2160" xr:uid="{00000000-0005-0000-0000-00009E080000}"/>
    <cellStyle name="Accent3 17" xfId="180" xr:uid="{00000000-0005-0000-0000-0000CB000000}"/>
    <cellStyle name="Accent3 17 2" xfId="1448" xr:uid="{00000000-0005-0000-0000-0000D6050000}"/>
    <cellStyle name="Accent3 18" xfId="1471" xr:uid="{00000000-0005-0000-0000-0000ED050000}"/>
    <cellStyle name="Accent3 18 2" xfId="253" xr:uid="{00000000-0005-0000-0000-00001F010000}"/>
    <cellStyle name="Accent3 19" xfId="803" xr:uid="{00000000-0005-0000-0000-000051030000}"/>
    <cellStyle name="Accent3 19 2" xfId="1314" xr:uid="{00000000-0005-0000-0000-000050050000}"/>
    <cellStyle name="Accent3 2" xfId="2176" xr:uid="{00000000-0005-0000-0000-0000AE080000}"/>
    <cellStyle name="Accent3 2 2" xfId="1913" xr:uid="{00000000-0005-0000-0000-0000A7070000}"/>
    <cellStyle name="Accent3 20" xfId="592" xr:uid="{00000000-0005-0000-0000-00007E020000}"/>
    <cellStyle name="Accent3 21" xfId="2158" xr:uid="{00000000-0005-0000-0000-00009C080000}"/>
    <cellStyle name="Accent3 3" xfId="2189" xr:uid="{00000000-0005-0000-0000-0000BB080000}"/>
    <cellStyle name="Accent3 3 2" xfId="2197" xr:uid="{00000000-0005-0000-0000-0000C3080000}"/>
    <cellStyle name="Accent3 4" xfId="2207" xr:uid="{00000000-0005-0000-0000-0000CD080000}"/>
    <cellStyle name="Accent3 4 2" xfId="120" xr:uid="{00000000-0005-0000-0000-000085000000}"/>
    <cellStyle name="Accent3 5" xfId="2222" xr:uid="{00000000-0005-0000-0000-0000DC080000}"/>
    <cellStyle name="Accent3 5 2" xfId="1153" xr:uid="{00000000-0005-0000-0000-0000AF040000}"/>
    <cellStyle name="Accent3 6" xfId="2231" xr:uid="{00000000-0005-0000-0000-0000E5080000}"/>
    <cellStyle name="Accent3 6 2" xfId="2237" xr:uid="{00000000-0005-0000-0000-0000EB080000}"/>
    <cellStyle name="Accent3 7" xfId="2247" xr:uid="{00000000-0005-0000-0000-0000F5080000}"/>
    <cellStyle name="Accent3 7 2" xfId="2259" xr:uid="{00000000-0005-0000-0000-000001090000}"/>
    <cellStyle name="Accent3 8" xfId="2270" xr:uid="{00000000-0005-0000-0000-00000C090000}"/>
    <cellStyle name="Accent3 8 2" xfId="2278" xr:uid="{00000000-0005-0000-0000-000014090000}"/>
    <cellStyle name="Accent3 9" xfId="2283" xr:uid="{00000000-0005-0000-0000-000019090000}"/>
    <cellStyle name="Accent3 9 2" xfId="829" xr:uid="{00000000-0005-0000-0000-00006B030000}"/>
    <cellStyle name="Accent3_公安安全支出补充表5.14" xfId="2288" xr:uid="{00000000-0005-0000-0000-00001E090000}"/>
    <cellStyle name="Accent4" xfId="2295" xr:uid="{00000000-0005-0000-0000-000025090000}"/>
    <cellStyle name="Accent4 - 20%" xfId="2302" xr:uid="{00000000-0005-0000-0000-00002C090000}"/>
    <cellStyle name="Accent4 - 20% 2" xfId="2304" xr:uid="{00000000-0005-0000-0000-00002E090000}"/>
    <cellStyle name="Accent4 - 20% 2 2" xfId="889" xr:uid="{00000000-0005-0000-0000-0000A7030000}"/>
    <cellStyle name="Accent4 - 20% 3" xfId="2305" xr:uid="{00000000-0005-0000-0000-00002F090000}"/>
    <cellStyle name="Accent4 - 40%" xfId="2313" xr:uid="{00000000-0005-0000-0000-000037090000}"/>
    <cellStyle name="Accent4 - 40% 2" xfId="2320" xr:uid="{00000000-0005-0000-0000-00003E090000}"/>
    <cellStyle name="Accent4 - 40% 2 2" xfId="2323" xr:uid="{00000000-0005-0000-0000-000041090000}"/>
    <cellStyle name="Accent4 - 40% 3" xfId="2325" xr:uid="{00000000-0005-0000-0000-000043090000}"/>
    <cellStyle name="Accent4 - 60%" xfId="2336" xr:uid="{00000000-0005-0000-0000-00004E090000}"/>
    <cellStyle name="Accent4 - 60% 2" xfId="2338" xr:uid="{00000000-0005-0000-0000-000050090000}"/>
    <cellStyle name="Accent4 - 60% 2 2" xfId="2340" xr:uid="{00000000-0005-0000-0000-000052090000}"/>
    <cellStyle name="Accent4 - 60% 3" xfId="2342" xr:uid="{00000000-0005-0000-0000-000054090000}"/>
    <cellStyle name="Accent4 10" xfId="2348" xr:uid="{00000000-0005-0000-0000-00005A090000}"/>
    <cellStyle name="Accent4 10 2" xfId="2357" xr:uid="{00000000-0005-0000-0000-000063090000}"/>
    <cellStyle name="Accent4 11" xfId="2364" xr:uid="{00000000-0005-0000-0000-00006A090000}"/>
    <cellStyle name="Accent4 11 2" xfId="2374" xr:uid="{00000000-0005-0000-0000-000074090000}"/>
    <cellStyle name="Accent4 12" xfId="613" xr:uid="{00000000-0005-0000-0000-000093020000}"/>
    <cellStyle name="Accent4 12 2" xfId="2376" xr:uid="{00000000-0005-0000-0000-000076090000}"/>
    <cellStyle name="Accent4 13" xfId="2379" xr:uid="{00000000-0005-0000-0000-000079090000}"/>
    <cellStyle name="Accent4 13 2" xfId="2382" xr:uid="{00000000-0005-0000-0000-00007C090000}"/>
    <cellStyle name="Accent4 14" xfId="481" xr:uid="{00000000-0005-0000-0000-00000F020000}"/>
    <cellStyle name="Accent4 14 2" xfId="2386" xr:uid="{00000000-0005-0000-0000-000080090000}"/>
    <cellStyle name="Accent4 15" xfId="2388" xr:uid="{00000000-0005-0000-0000-000082090000}"/>
    <cellStyle name="Accent4 15 2" xfId="327" xr:uid="{00000000-0005-0000-0000-000075010000}"/>
    <cellStyle name="Accent4 16" xfId="2396" xr:uid="{00000000-0005-0000-0000-00008A090000}"/>
    <cellStyle name="Accent4 16 2" xfId="2405" xr:uid="{00000000-0005-0000-0000-000093090000}"/>
    <cellStyle name="Accent4 17" xfId="543" xr:uid="{00000000-0005-0000-0000-00004D020000}"/>
    <cellStyle name="Accent4 17 2" xfId="1894" xr:uid="{00000000-0005-0000-0000-000094070000}"/>
    <cellStyle name="Accent4 18" xfId="508" xr:uid="{00000000-0005-0000-0000-00002A020000}"/>
    <cellStyle name="Accent4 18 2" xfId="2418" xr:uid="{00000000-0005-0000-0000-0000A0090000}"/>
    <cellStyle name="Accent4 19" xfId="2422" xr:uid="{00000000-0005-0000-0000-0000A4090000}"/>
    <cellStyle name="Accent4 19 2" xfId="2426" xr:uid="{00000000-0005-0000-0000-0000A8090000}"/>
    <cellStyle name="Accent4 2" xfId="2443" xr:uid="{00000000-0005-0000-0000-0000B9090000}"/>
    <cellStyle name="Accent4 2 2" xfId="158" xr:uid="{00000000-0005-0000-0000-0000B0000000}"/>
    <cellStyle name="Accent4 20" xfId="2389" xr:uid="{00000000-0005-0000-0000-000083090000}"/>
    <cellStyle name="Accent4 21" xfId="2397" xr:uid="{00000000-0005-0000-0000-00008B090000}"/>
    <cellStyle name="Accent4 3" xfId="2457" xr:uid="{00000000-0005-0000-0000-0000C7090000}"/>
    <cellStyle name="Accent4 3 2" xfId="2060" xr:uid="{00000000-0005-0000-0000-00003A080000}"/>
    <cellStyle name="Accent4 4" xfId="2468" xr:uid="{00000000-0005-0000-0000-0000D2090000}"/>
    <cellStyle name="Accent4 4 2" xfId="2475" xr:uid="{00000000-0005-0000-0000-0000D9090000}"/>
    <cellStyle name="Accent4 5" xfId="85" xr:uid="{00000000-0005-0000-0000-00005F000000}"/>
    <cellStyle name="Accent4 5 2" xfId="1724" xr:uid="{00000000-0005-0000-0000-0000EA060000}"/>
    <cellStyle name="Accent4 6" xfId="2487" xr:uid="{00000000-0005-0000-0000-0000E5090000}"/>
    <cellStyle name="Accent4 6 2" xfId="2501" xr:uid="{00000000-0005-0000-0000-0000F3090000}"/>
    <cellStyle name="Accent4 7" xfId="2516" xr:uid="{00000000-0005-0000-0000-0000020A0000}"/>
    <cellStyle name="Accent4 7 2" xfId="2521" xr:uid="{00000000-0005-0000-0000-0000070A0000}"/>
    <cellStyle name="Accent4 8" xfId="1210" xr:uid="{00000000-0005-0000-0000-0000E8040000}"/>
    <cellStyle name="Accent4 8 2" xfId="1221" xr:uid="{00000000-0005-0000-0000-0000F3040000}"/>
    <cellStyle name="Accent4 9" xfId="2528" xr:uid="{00000000-0005-0000-0000-00000E0A0000}"/>
    <cellStyle name="Accent4 9 2" xfId="2534" xr:uid="{00000000-0005-0000-0000-0000140A0000}"/>
    <cellStyle name="Accent4_公安安全支出补充表5.14" xfId="2536" xr:uid="{00000000-0005-0000-0000-0000160A0000}"/>
    <cellStyle name="Accent5" xfId="413" xr:uid="{00000000-0005-0000-0000-0000CB010000}"/>
    <cellStyle name="Accent5 - 20%" xfId="768" xr:uid="{00000000-0005-0000-0000-00002E030000}"/>
    <cellStyle name="Accent5 - 20% 2" xfId="776" xr:uid="{00000000-0005-0000-0000-000036030000}"/>
    <cellStyle name="Accent5 - 20% 2 2" xfId="2538" xr:uid="{00000000-0005-0000-0000-0000180A0000}"/>
    <cellStyle name="Accent5 - 20% 3" xfId="785" xr:uid="{00000000-0005-0000-0000-00003F030000}"/>
    <cellStyle name="Accent5 - 40%" xfId="447" xr:uid="{00000000-0005-0000-0000-0000ED010000}"/>
    <cellStyle name="Accent5 - 40% 2" xfId="459" xr:uid="{00000000-0005-0000-0000-0000F9010000}"/>
    <cellStyle name="Accent5 - 40% 2 2" xfId="1689" xr:uid="{00000000-0005-0000-0000-0000C7060000}"/>
    <cellStyle name="Accent5 - 40% 3" xfId="1706" xr:uid="{00000000-0005-0000-0000-0000D8060000}"/>
    <cellStyle name="Accent5 - 60%" xfId="2540" xr:uid="{00000000-0005-0000-0000-00001A0A0000}"/>
    <cellStyle name="Accent5 - 60% 2" xfId="2545" xr:uid="{00000000-0005-0000-0000-00001F0A0000}"/>
    <cellStyle name="Accent5 - 60% 2 2" xfId="114" xr:uid="{00000000-0005-0000-0000-00007E000000}"/>
    <cellStyle name="Accent5 - 60% 3" xfId="2549" xr:uid="{00000000-0005-0000-0000-0000230A0000}"/>
    <cellStyle name="Accent5 10" xfId="2555" xr:uid="{00000000-0005-0000-0000-0000290A0000}"/>
    <cellStyle name="Accent5 10 2" xfId="1338" xr:uid="{00000000-0005-0000-0000-000068050000}"/>
    <cellStyle name="Accent5 11" xfId="2560" xr:uid="{00000000-0005-0000-0000-00002E0A0000}"/>
    <cellStyle name="Accent5 11 2" xfId="517" xr:uid="{00000000-0005-0000-0000-000033020000}"/>
    <cellStyle name="Accent5 12" xfId="2339" xr:uid="{00000000-0005-0000-0000-000051090000}"/>
    <cellStyle name="Accent5 12 2" xfId="629" xr:uid="{00000000-0005-0000-0000-0000A3020000}"/>
    <cellStyle name="Accent5 13" xfId="2562" xr:uid="{00000000-0005-0000-0000-0000300A0000}"/>
    <cellStyle name="Accent5 13 2" xfId="677" xr:uid="{00000000-0005-0000-0000-0000D3020000}"/>
    <cellStyle name="Accent5 14" xfId="2570" xr:uid="{00000000-0005-0000-0000-0000380A0000}"/>
    <cellStyle name="Accent5 14 2" xfId="2579" xr:uid="{00000000-0005-0000-0000-0000410A0000}"/>
    <cellStyle name="Accent5 15" xfId="521" xr:uid="{00000000-0005-0000-0000-000037020000}"/>
    <cellStyle name="Accent5 15 2" xfId="1642" xr:uid="{00000000-0005-0000-0000-000098060000}"/>
    <cellStyle name="Accent5 16" xfId="2583" xr:uid="{00000000-0005-0000-0000-0000450A0000}"/>
    <cellStyle name="Accent5 16 2" xfId="2592" xr:uid="{00000000-0005-0000-0000-00004E0A0000}"/>
    <cellStyle name="Accent5 17" xfId="2594" xr:uid="{00000000-0005-0000-0000-0000500A0000}"/>
    <cellStyle name="Accent5 17 2" xfId="2599" xr:uid="{00000000-0005-0000-0000-0000550A0000}"/>
    <cellStyle name="Accent5 18" xfId="2603" xr:uid="{00000000-0005-0000-0000-0000590A0000}"/>
    <cellStyle name="Accent5 18 2" xfId="2605" xr:uid="{00000000-0005-0000-0000-00005B0A0000}"/>
    <cellStyle name="Accent5 19" xfId="2611" xr:uid="{00000000-0005-0000-0000-0000610A0000}"/>
    <cellStyle name="Accent5 19 2" xfId="2612" xr:uid="{00000000-0005-0000-0000-0000620A0000}"/>
    <cellStyle name="Accent5 2" xfId="375" xr:uid="{00000000-0005-0000-0000-0000A5010000}"/>
    <cellStyle name="Accent5 2 2" xfId="2030" xr:uid="{00000000-0005-0000-0000-00001C080000}"/>
    <cellStyle name="Accent5 20" xfId="522" xr:uid="{00000000-0005-0000-0000-000038020000}"/>
    <cellStyle name="Accent5 21" xfId="2584" xr:uid="{00000000-0005-0000-0000-0000460A0000}"/>
    <cellStyle name="Accent5 3" xfId="2630" xr:uid="{00000000-0005-0000-0000-0000740A0000}"/>
    <cellStyle name="Accent5 3 2" xfId="2642" xr:uid="{00000000-0005-0000-0000-0000800A0000}"/>
    <cellStyle name="Accent5 4" xfId="1029" xr:uid="{00000000-0005-0000-0000-000033040000}"/>
    <cellStyle name="Accent5 4 2" xfId="2649" xr:uid="{00000000-0005-0000-0000-0000870A0000}"/>
    <cellStyle name="Accent5 5" xfId="2656" xr:uid="{00000000-0005-0000-0000-00008E0A0000}"/>
    <cellStyle name="Accent5 5 2" xfId="2658" xr:uid="{00000000-0005-0000-0000-0000900A0000}"/>
    <cellStyle name="Accent5 6" xfId="2668" xr:uid="{00000000-0005-0000-0000-00009A0A0000}"/>
    <cellStyle name="Accent5 6 2" xfId="2669" xr:uid="{00000000-0005-0000-0000-00009B0A0000}"/>
    <cellStyle name="Accent5 7" xfId="2673" xr:uid="{00000000-0005-0000-0000-00009F0A0000}"/>
    <cellStyle name="Accent5 7 2" xfId="2677" xr:uid="{00000000-0005-0000-0000-0000A30A0000}"/>
    <cellStyle name="Accent5 8" xfId="1223" xr:uid="{00000000-0005-0000-0000-0000F5040000}"/>
    <cellStyle name="Accent5 8 2" xfId="2684" xr:uid="{00000000-0005-0000-0000-0000AA0A0000}"/>
    <cellStyle name="Accent5 9" xfId="2686" xr:uid="{00000000-0005-0000-0000-0000AC0A0000}"/>
    <cellStyle name="Accent5 9 2" xfId="2693" xr:uid="{00000000-0005-0000-0000-0000B30A0000}"/>
    <cellStyle name="Accent5_公安安全支出补充表5.14" xfId="2698" xr:uid="{00000000-0005-0000-0000-0000B80A0000}"/>
    <cellStyle name="Accent6" xfId="2434" xr:uid="{00000000-0005-0000-0000-0000B0090000}"/>
    <cellStyle name="Accent6 - 20%" xfId="2704" xr:uid="{00000000-0005-0000-0000-0000BE0A0000}"/>
    <cellStyle name="Accent6 - 20% 2" xfId="1470" xr:uid="{00000000-0005-0000-0000-0000EC050000}"/>
    <cellStyle name="Accent6 - 20% 2 2" xfId="252" xr:uid="{00000000-0005-0000-0000-00001E010000}"/>
    <cellStyle name="Accent6 - 20% 3" xfId="804" xr:uid="{00000000-0005-0000-0000-000052030000}"/>
    <cellStyle name="Accent6 - 40%" xfId="1239" xr:uid="{00000000-0005-0000-0000-000005050000}"/>
    <cellStyle name="Accent6 - 40% 2" xfId="1246" xr:uid="{00000000-0005-0000-0000-00000C050000}"/>
    <cellStyle name="Accent6 - 40% 2 2" xfId="2709" xr:uid="{00000000-0005-0000-0000-0000C30A0000}"/>
    <cellStyle name="Accent6 - 40% 3" xfId="2711" xr:uid="{00000000-0005-0000-0000-0000C50A0000}"/>
    <cellStyle name="Accent6 - 60%" xfId="2718" xr:uid="{00000000-0005-0000-0000-0000CC0A0000}"/>
    <cellStyle name="Accent6 - 60% 2" xfId="1127" xr:uid="{00000000-0005-0000-0000-000095040000}"/>
    <cellStyle name="Accent6 - 60% 2 2" xfId="1130" xr:uid="{00000000-0005-0000-0000-000098040000}"/>
    <cellStyle name="Accent6 - 60% 3" xfId="1139" xr:uid="{00000000-0005-0000-0000-0000A1040000}"/>
    <cellStyle name="Accent6 10" xfId="1389" xr:uid="{00000000-0005-0000-0000-00009B050000}"/>
    <cellStyle name="Accent6 10 2" xfId="2721" xr:uid="{00000000-0005-0000-0000-0000CF0A0000}"/>
    <cellStyle name="Accent6 11" xfId="2724" xr:uid="{00000000-0005-0000-0000-0000D20A0000}"/>
    <cellStyle name="Accent6 11 2" xfId="2726" xr:uid="{00000000-0005-0000-0000-0000D40A0000}"/>
    <cellStyle name="Accent6 12" xfId="2730" xr:uid="{00000000-0005-0000-0000-0000D80A0000}"/>
    <cellStyle name="Accent6 12 2" xfId="2733" xr:uid="{00000000-0005-0000-0000-0000DB0A0000}"/>
    <cellStyle name="Accent6 13" xfId="2741" xr:uid="{00000000-0005-0000-0000-0000E30A0000}"/>
    <cellStyle name="Accent6 13 2" xfId="2746" xr:uid="{00000000-0005-0000-0000-0000E80A0000}"/>
    <cellStyle name="Accent6 14" xfId="2749" xr:uid="{00000000-0005-0000-0000-0000EB0A0000}"/>
    <cellStyle name="Accent6 14 2" xfId="2694" xr:uid="{00000000-0005-0000-0000-0000B40A0000}"/>
    <cellStyle name="Accent6 15" xfId="2751" xr:uid="{00000000-0005-0000-0000-0000ED0A0000}"/>
    <cellStyle name="Accent6 15 2" xfId="1773" xr:uid="{00000000-0005-0000-0000-00001B070000}"/>
    <cellStyle name="Accent6 16" xfId="2755" xr:uid="{00000000-0005-0000-0000-0000F10A0000}"/>
    <cellStyle name="Accent6 16 2" xfId="2759" xr:uid="{00000000-0005-0000-0000-0000F50A0000}"/>
    <cellStyle name="Accent6 17" xfId="553" xr:uid="{00000000-0005-0000-0000-000057020000}"/>
    <cellStyle name="Accent6 17 2" xfId="564" xr:uid="{00000000-0005-0000-0000-000062020000}"/>
    <cellStyle name="Accent6 18" xfId="2761" xr:uid="{00000000-0005-0000-0000-0000F70A0000}"/>
    <cellStyle name="Accent6 18 2" xfId="309" xr:uid="{00000000-0005-0000-0000-000061010000}"/>
    <cellStyle name="Accent6 19" xfId="2764" xr:uid="{00000000-0005-0000-0000-0000FA0A0000}"/>
    <cellStyle name="Accent6 19 2" xfId="3" xr:uid="{00000000-0005-0000-0000-000004000000}"/>
    <cellStyle name="Accent6 2" xfId="162" xr:uid="{00000000-0005-0000-0000-0000B5000000}"/>
    <cellStyle name="Accent6 2 2" xfId="847" xr:uid="{00000000-0005-0000-0000-00007D030000}"/>
    <cellStyle name="Accent6 20" xfId="2752" xr:uid="{00000000-0005-0000-0000-0000EE0A0000}"/>
    <cellStyle name="Accent6 21" xfId="2756" xr:uid="{00000000-0005-0000-0000-0000F20A0000}"/>
    <cellStyle name="Accent6 3" xfId="109" xr:uid="{00000000-0005-0000-0000-000079000000}"/>
    <cellStyle name="Accent6 3 2" xfId="1255" xr:uid="{00000000-0005-0000-0000-000015050000}"/>
    <cellStyle name="Accent6 4" xfId="51" xr:uid="{00000000-0005-0000-0000-00003B000000}"/>
    <cellStyle name="Accent6 4 2" xfId="1302" xr:uid="{00000000-0005-0000-0000-000044050000}"/>
    <cellStyle name="Accent6 5" xfId="169" xr:uid="{00000000-0005-0000-0000-0000BE000000}"/>
    <cellStyle name="Accent6 5 2" xfId="1326" xr:uid="{00000000-0005-0000-0000-00005C050000}"/>
    <cellStyle name="Accent6 6" xfId="300" xr:uid="{00000000-0005-0000-0000-000057010000}"/>
    <cellStyle name="Accent6 6 2" xfId="1737" xr:uid="{00000000-0005-0000-0000-0000F7060000}"/>
    <cellStyle name="Accent6 7" xfId="323" xr:uid="{00000000-0005-0000-0000-000071010000}"/>
    <cellStyle name="Accent6 7 2" xfId="1754" xr:uid="{00000000-0005-0000-0000-000008070000}"/>
    <cellStyle name="Accent6 8" xfId="2766" xr:uid="{00000000-0005-0000-0000-0000FC0A0000}"/>
    <cellStyle name="Accent6 8 2" xfId="2768" xr:uid="{00000000-0005-0000-0000-0000FE0A0000}"/>
    <cellStyle name="Accent6 9" xfId="2769" xr:uid="{00000000-0005-0000-0000-0000FF0A0000}"/>
    <cellStyle name="Accent6 9 2" xfId="2771" xr:uid="{00000000-0005-0000-0000-0000010B0000}"/>
    <cellStyle name="Accent6_公安安全支出补充表5.14" xfId="2772" xr:uid="{00000000-0005-0000-0000-0000020B0000}"/>
    <cellStyle name="args.style" xfId="2735" xr:uid="{00000000-0005-0000-0000-0000DD0A0000}"/>
    <cellStyle name="args.style 2" xfId="2744" xr:uid="{00000000-0005-0000-0000-0000E60A0000}"/>
    <cellStyle name="Bad" xfId="1605" xr:uid="{00000000-0005-0000-0000-000073060000}"/>
    <cellStyle name="Bad 2" xfId="1612" xr:uid="{00000000-0005-0000-0000-00007A060000}"/>
    <cellStyle name="Bad 2 2" xfId="2777" xr:uid="{00000000-0005-0000-0000-0000070B0000}"/>
    <cellStyle name="Calc Currency (0)" xfId="2778" xr:uid="{00000000-0005-0000-0000-0000080B0000}"/>
    <cellStyle name="Calc Currency (0) 2" xfId="2782" xr:uid="{00000000-0005-0000-0000-00000C0B0000}"/>
    <cellStyle name="Calculation" xfId="2787" xr:uid="{00000000-0005-0000-0000-0000110B0000}"/>
    <cellStyle name="Calculation 10" xfId="2788" xr:uid="{00000000-0005-0000-0000-0000120B0000}"/>
    <cellStyle name="Calculation 10 10" xfId="402" xr:uid="{00000000-0005-0000-0000-0000C0010000}"/>
    <cellStyle name="Calculation 10 10 2" xfId="421" xr:uid="{00000000-0005-0000-0000-0000D3010000}"/>
    <cellStyle name="Calculation 10 11" xfId="2791" xr:uid="{00000000-0005-0000-0000-0000150B0000}"/>
    <cellStyle name="Calculation 10 12" xfId="2803" xr:uid="{00000000-0005-0000-0000-0000210B0000}"/>
    <cellStyle name="Calculation 10 13" xfId="2807" xr:uid="{00000000-0005-0000-0000-0000250B0000}"/>
    <cellStyle name="Calculation 10 2" xfId="1547" xr:uid="{00000000-0005-0000-0000-000039060000}"/>
    <cellStyle name="Calculation 10 2 10" xfId="1659" xr:uid="{00000000-0005-0000-0000-0000A9060000}"/>
    <cellStyle name="Calculation 10 2 2" xfId="1554" xr:uid="{00000000-0005-0000-0000-000040060000}"/>
    <cellStyle name="Calculation 10 2 2 2" xfId="2809" xr:uid="{00000000-0005-0000-0000-0000270B0000}"/>
    <cellStyle name="Calculation 10 2 2 2 2" xfId="2810" xr:uid="{00000000-0005-0000-0000-0000280B0000}"/>
    <cellStyle name="Calculation 10 2 2 2 2 2" xfId="206" xr:uid="{00000000-0005-0000-0000-0000EA000000}"/>
    <cellStyle name="Calculation 10 2 2 2 3" xfId="1457" xr:uid="{00000000-0005-0000-0000-0000DF050000}"/>
    <cellStyle name="Calculation 10 2 2 2 3 2" xfId="1464" xr:uid="{00000000-0005-0000-0000-0000E6050000}"/>
    <cellStyle name="Calculation 10 2 2 2 4" xfId="575" xr:uid="{00000000-0005-0000-0000-00006D020000}"/>
    <cellStyle name="Calculation 10 2 2 2 4 2" xfId="2811" xr:uid="{00000000-0005-0000-0000-0000290B0000}"/>
    <cellStyle name="Calculation 10 2 2 2 5" xfId="2615" xr:uid="{00000000-0005-0000-0000-0000650A0000}"/>
    <cellStyle name="Calculation 10 2 2 2 6" xfId="997" xr:uid="{00000000-0005-0000-0000-000013040000}"/>
    <cellStyle name="Calculation 10 2 2 3" xfId="2812" xr:uid="{00000000-0005-0000-0000-00002A0B0000}"/>
    <cellStyle name="Calculation 10 2 2 3 2" xfId="2813" xr:uid="{00000000-0005-0000-0000-00002B0B0000}"/>
    <cellStyle name="Calculation 10 2 2 3 2 2" xfId="690" xr:uid="{00000000-0005-0000-0000-0000E0020000}"/>
    <cellStyle name="Calculation 10 2 2 3 3" xfId="231" xr:uid="{00000000-0005-0000-0000-000006010000}"/>
    <cellStyle name="Calculation 10 2 2 3 3 2" xfId="2814" xr:uid="{00000000-0005-0000-0000-00002C0B0000}"/>
    <cellStyle name="Calculation 10 2 2 3 4" xfId="192" xr:uid="{00000000-0005-0000-0000-0000D9000000}"/>
    <cellStyle name="Calculation 10 2 2 3 4 2" xfId="2816" xr:uid="{00000000-0005-0000-0000-00002E0B0000}"/>
    <cellStyle name="Calculation 10 2 2 3 5" xfId="261" xr:uid="{00000000-0005-0000-0000-000029010000}"/>
    <cellStyle name="Calculation 10 2 2 3 6" xfId="270" xr:uid="{00000000-0005-0000-0000-000033010000}"/>
    <cellStyle name="Calculation 10 2 2 4" xfId="1218" xr:uid="{00000000-0005-0000-0000-0000F0040000}"/>
    <cellStyle name="Calculation 10 2 2 4 2" xfId="1871" xr:uid="{00000000-0005-0000-0000-00007D070000}"/>
    <cellStyle name="Calculation 10 2 2 5" xfId="2819" xr:uid="{00000000-0005-0000-0000-0000310B0000}"/>
    <cellStyle name="Calculation 10 2 2 5 2" xfId="2003" xr:uid="{00000000-0005-0000-0000-000001080000}"/>
    <cellStyle name="Calculation 10 2 2 6" xfId="33" xr:uid="{00000000-0005-0000-0000-000028000000}"/>
    <cellStyle name="Calculation 10 2 2 6 2" xfId="2252" xr:uid="{00000000-0005-0000-0000-0000FA080000}"/>
    <cellStyle name="Calculation 10 2 2 7" xfId="2823" xr:uid="{00000000-0005-0000-0000-0000350B0000}"/>
    <cellStyle name="Calculation 10 2 2 8" xfId="2826" xr:uid="{00000000-0005-0000-0000-0000380B0000}"/>
    <cellStyle name="Calculation 10 2 2 9" xfId="2833" xr:uid="{00000000-0005-0000-0000-00003F0B0000}"/>
    <cellStyle name="Calculation 10 2 3" xfId="1376" xr:uid="{00000000-0005-0000-0000-00008E050000}"/>
    <cellStyle name="Calculation 10 2 3 2" xfId="1834" xr:uid="{00000000-0005-0000-0000-000058070000}"/>
    <cellStyle name="Calculation 10 2 3 2 2" xfId="2842" xr:uid="{00000000-0005-0000-0000-0000480B0000}"/>
    <cellStyle name="Calculation 10 2 3 3" xfId="2843" xr:uid="{00000000-0005-0000-0000-0000490B0000}"/>
    <cellStyle name="Calculation 10 2 3 3 2" xfId="2844" xr:uid="{00000000-0005-0000-0000-00004A0B0000}"/>
    <cellStyle name="Calculation 10 2 3 4" xfId="2530" xr:uid="{00000000-0005-0000-0000-0000100A0000}"/>
    <cellStyle name="Calculation 10 2 3 4 2" xfId="766" xr:uid="{00000000-0005-0000-0000-00002C030000}"/>
    <cellStyle name="Calculation 10 2 3 5" xfId="952" xr:uid="{00000000-0005-0000-0000-0000E6030000}"/>
    <cellStyle name="Calculation 10 2 3 6" xfId="347" xr:uid="{00000000-0005-0000-0000-000089010000}"/>
    <cellStyle name="Calculation 10 2 4" xfId="1839" xr:uid="{00000000-0005-0000-0000-00005D070000}"/>
    <cellStyle name="Calculation 10 2 4 2" xfId="1848" xr:uid="{00000000-0005-0000-0000-000066070000}"/>
    <cellStyle name="Calculation 10 2 4 2 2" xfId="2847" xr:uid="{00000000-0005-0000-0000-00004D0B0000}"/>
    <cellStyle name="Calculation 10 2 4 3" xfId="2851" xr:uid="{00000000-0005-0000-0000-0000510B0000}"/>
    <cellStyle name="Calculation 10 2 4 3 2" xfId="2856" xr:uid="{00000000-0005-0000-0000-0000560B0000}"/>
    <cellStyle name="Calculation 10 2 4 4" xfId="1106" xr:uid="{00000000-0005-0000-0000-000080040000}"/>
    <cellStyle name="Calculation 10 2 4 4 2" xfId="1201" xr:uid="{00000000-0005-0000-0000-0000DF040000}"/>
    <cellStyle name="Calculation 10 2 4 5" xfId="2861" xr:uid="{00000000-0005-0000-0000-00005B0B0000}"/>
    <cellStyle name="Calculation 10 2 4 6" xfId="2870" xr:uid="{00000000-0005-0000-0000-0000640B0000}"/>
    <cellStyle name="Calculation 10 2 5" xfId="1853" xr:uid="{00000000-0005-0000-0000-00006B070000}"/>
    <cellStyle name="Calculation 10 2 5 2" xfId="621" xr:uid="{00000000-0005-0000-0000-00009B020000}"/>
    <cellStyle name="Calculation 10 2 5 3" xfId="649" xr:uid="{00000000-0005-0000-0000-0000B7020000}"/>
    <cellStyle name="Calculation 10 2 6" xfId="14" xr:uid="{00000000-0005-0000-0000-000012000000}"/>
    <cellStyle name="Calculation 10 2 6 2" xfId="1855" xr:uid="{00000000-0005-0000-0000-00006D070000}"/>
    <cellStyle name="Calculation 10 2 7" xfId="1858" xr:uid="{00000000-0005-0000-0000-000070070000}"/>
    <cellStyle name="Calculation 10 2 7 2" xfId="1862" xr:uid="{00000000-0005-0000-0000-000074070000}"/>
    <cellStyle name="Calculation 10 2 8" xfId="1867" xr:uid="{00000000-0005-0000-0000-000079070000}"/>
    <cellStyle name="Calculation 10 2 9" xfId="1879" xr:uid="{00000000-0005-0000-0000-000085070000}"/>
    <cellStyle name="Calculation 10 3" xfId="1997" xr:uid="{00000000-0005-0000-0000-0000FB070000}"/>
    <cellStyle name="Calculation 10 3 2" xfId="2008" xr:uid="{00000000-0005-0000-0000-000006080000}"/>
    <cellStyle name="Calculation 10 3 2 2" xfId="959" xr:uid="{00000000-0005-0000-0000-0000ED030000}"/>
    <cellStyle name="Calculation 10 3 2 2 2" xfId="2873" xr:uid="{00000000-0005-0000-0000-0000670B0000}"/>
    <cellStyle name="Calculation 10 3 2 3" xfId="2878" xr:uid="{00000000-0005-0000-0000-00006C0B0000}"/>
    <cellStyle name="Calculation 10 3 2 3 2" xfId="2884" xr:uid="{00000000-0005-0000-0000-0000720B0000}"/>
    <cellStyle name="Calculation 10 3 2 4" xfId="2679" xr:uid="{00000000-0005-0000-0000-0000A50A0000}"/>
    <cellStyle name="Calculation 10 3 2 4 2" xfId="509" xr:uid="{00000000-0005-0000-0000-00002B020000}"/>
    <cellStyle name="Calculation 10 3 2 5" xfId="586" xr:uid="{00000000-0005-0000-0000-000078020000}"/>
    <cellStyle name="Calculation 10 3 2 6" xfId="2886" xr:uid="{00000000-0005-0000-0000-0000740B0000}"/>
    <cellStyle name="Calculation 10 3 3" xfId="1970" xr:uid="{00000000-0005-0000-0000-0000E0070000}"/>
    <cellStyle name="Calculation 10 3 3 2" xfId="1626" xr:uid="{00000000-0005-0000-0000-000088060000}"/>
    <cellStyle name="Calculation 10 3 3 2 2" xfId="1633" xr:uid="{00000000-0005-0000-0000-00008F060000}"/>
    <cellStyle name="Calculation 10 3 3 3" xfId="2891" xr:uid="{00000000-0005-0000-0000-0000790B0000}"/>
    <cellStyle name="Calculation 10 3 3 3 2" xfId="388" xr:uid="{00000000-0005-0000-0000-0000B2010000}"/>
    <cellStyle name="Calculation 10 3 3 4" xfId="2688" xr:uid="{00000000-0005-0000-0000-0000AE0A0000}"/>
    <cellStyle name="Calculation 10 3 3 4 2" xfId="2700" xr:uid="{00000000-0005-0000-0000-0000BA0A0000}"/>
    <cellStyle name="Calculation 10 3 3 5" xfId="2892" xr:uid="{00000000-0005-0000-0000-00007A0B0000}"/>
    <cellStyle name="Calculation 10 3 3 6" xfId="2898" xr:uid="{00000000-0005-0000-0000-0000800B0000}"/>
    <cellStyle name="Calculation 10 3 4" xfId="1984" xr:uid="{00000000-0005-0000-0000-0000EE070000}"/>
    <cellStyle name="Calculation 10 3 4 2" xfId="1988" xr:uid="{00000000-0005-0000-0000-0000F2070000}"/>
    <cellStyle name="Calculation 10 3 4 3" xfId="2899" xr:uid="{00000000-0005-0000-0000-0000810B0000}"/>
    <cellStyle name="Calculation 10 3 5" xfId="797" xr:uid="{00000000-0005-0000-0000-00004B030000}"/>
    <cellStyle name="Calculation 10 3 5 2" xfId="1991" xr:uid="{00000000-0005-0000-0000-0000F5070000}"/>
    <cellStyle name="Calculation 10 3 6" xfId="1525" xr:uid="{00000000-0005-0000-0000-000023060000}"/>
    <cellStyle name="Calculation 10 3 6 2" xfId="1534" xr:uid="{00000000-0005-0000-0000-00002C060000}"/>
    <cellStyle name="Calculation 10 3 7" xfId="1545" xr:uid="{00000000-0005-0000-0000-000037060000}"/>
    <cellStyle name="Calculation 10 3 8" xfId="1996" xr:uid="{00000000-0005-0000-0000-0000FA070000}"/>
    <cellStyle name="Calculation 10 3 9" xfId="466" xr:uid="{00000000-0005-0000-0000-000000020000}"/>
    <cellStyle name="Calculation 10 4" xfId="468" xr:uid="{00000000-0005-0000-0000-000002020000}"/>
    <cellStyle name="Calculation 10 4 2" xfId="2017" xr:uid="{00000000-0005-0000-0000-00000F080000}"/>
    <cellStyle name="Calculation 10 4 2 2" xfId="2904" xr:uid="{00000000-0005-0000-0000-0000860B0000}"/>
    <cellStyle name="Calculation 10 4 2 3" xfId="2911" xr:uid="{00000000-0005-0000-0000-00008D0B0000}"/>
    <cellStyle name="Calculation 10 4 3" xfId="2173" xr:uid="{00000000-0005-0000-0000-0000AB080000}"/>
    <cellStyle name="Calculation 10 4 3 2" xfId="1910" xr:uid="{00000000-0005-0000-0000-0000A4070000}"/>
    <cellStyle name="Calculation 10 4 4" xfId="2186" xr:uid="{00000000-0005-0000-0000-0000B8080000}"/>
    <cellStyle name="Calculation 10 4 4 2" xfId="2195" xr:uid="{00000000-0005-0000-0000-0000C1080000}"/>
    <cellStyle name="Calculation 10 4 5" xfId="2202" xr:uid="{00000000-0005-0000-0000-0000C8080000}"/>
    <cellStyle name="Calculation 10 4 6" xfId="2216" xr:uid="{00000000-0005-0000-0000-0000D6080000}"/>
    <cellStyle name="Calculation 10 4 7" xfId="2227" xr:uid="{00000000-0005-0000-0000-0000E1080000}"/>
    <cellStyle name="Calculation 10 5" xfId="399" xr:uid="{00000000-0005-0000-0000-0000BD010000}"/>
    <cellStyle name="Calculation 10 5 2" xfId="410" xr:uid="{00000000-0005-0000-0000-0000C8010000}"/>
    <cellStyle name="Calculation 10 5 2 2" xfId="374" xr:uid="{00000000-0005-0000-0000-0000A4010000}"/>
    <cellStyle name="Calculation 10 5 2 3" xfId="2629" xr:uid="{00000000-0005-0000-0000-0000730A0000}"/>
    <cellStyle name="Calculation 10 5 3" xfId="2435" xr:uid="{00000000-0005-0000-0000-0000B1090000}"/>
    <cellStyle name="Calculation 10 5 3 2" xfId="161" xr:uid="{00000000-0005-0000-0000-0000B4000000}"/>
    <cellStyle name="Calculation 10 5 4" xfId="2451" xr:uid="{00000000-0005-0000-0000-0000C1090000}"/>
    <cellStyle name="Calculation 10 5 4 2" xfId="2073" xr:uid="{00000000-0005-0000-0000-000047080000}"/>
    <cellStyle name="Calculation 10 5 5" xfId="2460" xr:uid="{00000000-0005-0000-0000-0000CA090000}"/>
    <cellStyle name="Calculation 10 5 6" xfId="78" xr:uid="{00000000-0005-0000-0000-000058000000}"/>
    <cellStyle name="Calculation 10 5 7" xfId="2483" xr:uid="{00000000-0005-0000-0000-0000E1090000}"/>
    <cellStyle name="Calculation 10 6" xfId="2790" xr:uid="{00000000-0005-0000-0000-0000140B0000}"/>
    <cellStyle name="Calculation 10 6 2" xfId="2915" xr:uid="{00000000-0005-0000-0000-0000910B0000}"/>
    <cellStyle name="Calculation 10 6 3" xfId="367" xr:uid="{00000000-0005-0000-0000-00009D010000}"/>
    <cellStyle name="Calculation 10 6 4" xfId="2622" xr:uid="{00000000-0005-0000-0000-00006C0A0000}"/>
    <cellStyle name="Calculation 10 7" xfId="2798" xr:uid="{00000000-0005-0000-0000-00001C0B0000}"/>
    <cellStyle name="Calculation 10 7 2" xfId="2920" xr:uid="{00000000-0005-0000-0000-0000960B0000}"/>
    <cellStyle name="Calculation 10 7 3" xfId="151" xr:uid="{00000000-0005-0000-0000-0000A9000000}"/>
    <cellStyle name="Calculation 10 7 4" xfId="105" xr:uid="{00000000-0005-0000-0000-000074000000}"/>
    <cellStyle name="Calculation 10 8" xfId="2805" xr:uid="{00000000-0005-0000-0000-0000230B0000}"/>
    <cellStyle name="Calculation 10 8 2" xfId="1012" xr:uid="{00000000-0005-0000-0000-000022040000}"/>
    <cellStyle name="Calculation 10 8 3" xfId="2063" xr:uid="{00000000-0005-0000-0000-00003D080000}"/>
    <cellStyle name="Calculation 10 8 4" xfId="2923" xr:uid="{00000000-0005-0000-0000-0000990B0000}"/>
    <cellStyle name="Calculation 10 9" xfId="2926" xr:uid="{00000000-0005-0000-0000-00009C0B0000}"/>
    <cellStyle name="Calculation 10 9 2" xfId="201" xr:uid="{00000000-0005-0000-0000-0000E4000000}"/>
    <cellStyle name="Calculation 11" xfId="2929" xr:uid="{00000000-0005-0000-0000-00009F0B0000}"/>
    <cellStyle name="Calculation 11 10" xfId="2933" xr:uid="{00000000-0005-0000-0000-0000A30B0000}"/>
    <cellStyle name="Calculation 11 10 2" xfId="47" xr:uid="{00000000-0005-0000-0000-000037000000}"/>
    <cellStyle name="Calculation 11 11" xfId="2935" xr:uid="{00000000-0005-0000-0000-0000A50B0000}"/>
    <cellStyle name="Calculation 11 12" xfId="2940" xr:uid="{00000000-0005-0000-0000-0000AA0B0000}"/>
    <cellStyle name="Calculation 11 13" xfId="1541" xr:uid="{00000000-0005-0000-0000-000033060000}"/>
    <cellStyle name="Calculation 11 2" xfId="2226" xr:uid="{00000000-0005-0000-0000-0000E0080000}"/>
    <cellStyle name="Calculation 11 2 10" xfId="60" xr:uid="{00000000-0005-0000-0000-000045000000}"/>
    <cellStyle name="Calculation 11 2 2" xfId="2234" xr:uid="{00000000-0005-0000-0000-0000E8080000}"/>
    <cellStyle name="Calculation 11 2 2 2" xfId="2943" xr:uid="{00000000-0005-0000-0000-0000AD0B0000}"/>
    <cellStyle name="Calculation 11 2 2 2 2" xfId="2944" xr:uid="{00000000-0005-0000-0000-0000AE0B0000}"/>
    <cellStyle name="Calculation 11 2 2 2 2 2" xfId="2945" xr:uid="{00000000-0005-0000-0000-0000AF0B0000}"/>
    <cellStyle name="Calculation 11 2 2 2 3" xfId="2949" xr:uid="{00000000-0005-0000-0000-0000B30B0000}"/>
    <cellStyle name="Calculation 11 2 2 2 3 2" xfId="993" xr:uid="{00000000-0005-0000-0000-00000F040000}"/>
    <cellStyle name="Calculation 11 2 2 2 4" xfId="2951" xr:uid="{00000000-0005-0000-0000-0000B50B0000}"/>
    <cellStyle name="Calculation 11 2 2 2 4 2" xfId="275" xr:uid="{00000000-0005-0000-0000-000039010000}"/>
    <cellStyle name="Calculation 11 2 2 2 5" xfId="2952" xr:uid="{00000000-0005-0000-0000-0000B60B0000}"/>
    <cellStyle name="Calculation 11 2 2 2 6" xfId="2954" xr:uid="{00000000-0005-0000-0000-0000B80B0000}"/>
    <cellStyle name="Calculation 11 2 2 3" xfId="801" xr:uid="{00000000-0005-0000-0000-00004F030000}"/>
    <cellStyle name="Calculation 11 2 2 3 2" xfId="2956" xr:uid="{00000000-0005-0000-0000-0000BA0B0000}"/>
    <cellStyle name="Calculation 11 2 2 3 2 2" xfId="2958" xr:uid="{00000000-0005-0000-0000-0000BC0B0000}"/>
    <cellStyle name="Calculation 11 2 2 3 3" xfId="2963" xr:uid="{00000000-0005-0000-0000-0000C10B0000}"/>
    <cellStyle name="Calculation 11 2 2 3 3 2" xfId="2970" xr:uid="{00000000-0005-0000-0000-0000C80B0000}"/>
    <cellStyle name="Calculation 11 2 2 3 4" xfId="2974" xr:uid="{00000000-0005-0000-0000-0000CC0B0000}"/>
    <cellStyle name="Calculation 11 2 2 3 4 2" xfId="2982" xr:uid="{00000000-0005-0000-0000-0000D40B0000}"/>
    <cellStyle name="Calculation 11 2 2 3 5" xfId="2985" xr:uid="{00000000-0005-0000-0000-0000D70B0000}"/>
    <cellStyle name="Calculation 11 2 2 3 6" xfId="2329" xr:uid="{00000000-0005-0000-0000-000047090000}"/>
    <cellStyle name="Calculation 11 2 2 4" xfId="1530" xr:uid="{00000000-0005-0000-0000-000028060000}"/>
    <cellStyle name="Calculation 11 2 2 4 2" xfId="1537" xr:uid="{00000000-0005-0000-0000-00002F060000}"/>
    <cellStyle name="Calculation 11 2 2 5" xfId="1552" xr:uid="{00000000-0005-0000-0000-00003E060000}"/>
    <cellStyle name="Calculation 11 2 2 5 2" xfId="1559" xr:uid="{00000000-0005-0000-0000-000045060000}"/>
    <cellStyle name="Calculation 11 2 2 6" xfId="2990" xr:uid="{00000000-0005-0000-0000-0000DC0B0000}"/>
    <cellStyle name="Calculation 11 2 2 6 2" xfId="2991" xr:uid="{00000000-0005-0000-0000-0000DD0B0000}"/>
    <cellStyle name="Calculation 11 2 2 7" xfId="471" xr:uid="{00000000-0005-0000-0000-000005020000}"/>
    <cellStyle name="Calculation 11 2 2 8" xfId="397" xr:uid="{00000000-0005-0000-0000-0000BB010000}"/>
    <cellStyle name="Calculation 11 2 2 9" xfId="434" xr:uid="{00000000-0005-0000-0000-0000E0010000}"/>
    <cellStyle name="Calculation 11 2 3" xfId="2993" xr:uid="{00000000-0005-0000-0000-0000DF0B0000}"/>
    <cellStyle name="Calculation 11 2 3 2" xfId="2996" xr:uid="{00000000-0005-0000-0000-0000E20B0000}"/>
    <cellStyle name="Calculation 11 2 3 2 2" xfId="2998" xr:uid="{00000000-0005-0000-0000-0000E40B0000}"/>
    <cellStyle name="Calculation 11 2 3 3" xfId="2999" xr:uid="{00000000-0005-0000-0000-0000E50B0000}"/>
    <cellStyle name="Calculation 11 2 3 3 2" xfId="3000" xr:uid="{00000000-0005-0000-0000-0000E60B0000}"/>
    <cellStyle name="Calculation 11 2 3 4" xfId="1566" xr:uid="{00000000-0005-0000-0000-00004C060000}"/>
    <cellStyle name="Calculation 11 2 3 4 2" xfId="3001" xr:uid="{00000000-0005-0000-0000-0000E70B0000}"/>
    <cellStyle name="Calculation 11 2 3 5" xfId="3003" xr:uid="{00000000-0005-0000-0000-0000E90B0000}"/>
    <cellStyle name="Calculation 11 2 3 6" xfId="3004" xr:uid="{00000000-0005-0000-0000-0000EA0B0000}"/>
    <cellStyle name="Calculation 11 2 4" xfId="3005" xr:uid="{00000000-0005-0000-0000-0000EB0B0000}"/>
    <cellStyle name="Calculation 11 2 4 2" xfId="3008" xr:uid="{00000000-0005-0000-0000-0000EE0B0000}"/>
    <cellStyle name="Calculation 11 2 4 2 2" xfId="3010" xr:uid="{00000000-0005-0000-0000-0000F00B0000}"/>
    <cellStyle name="Calculation 11 2 4 3" xfId="3011" xr:uid="{00000000-0005-0000-0000-0000F10B0000}"/>
    <cellStyle name="Calculation 11 2 4 3 2" xfId="3013" xr:uid="{00000000-0005-0000-0000-0000F30B0000}"/>
    <cellStyle name="Calculation 11 2 4 4" xfId="88" xr:uid="{00000000-0005-0000-0000-000062000000}"/>
    <cellStyle name="Calculation 11 2 4 4 2" xfId="1728" xr:uid="{00000000-0005-0000-0000-0000EE060000}"/>
    <cellStyle name="Calculation 11 2 4 5" xfId="3014" xr:uid="{00000000-0005-0000-0000-0000F40B0000}"/>
    <cellStyle name="Calculation 11 2 4 6" xfId="3015" xr:uid="{00000000-0005-0000-0000-0000F50B0000}"/>
    <cellStyle name="Calculation 11 2 5" xfId="3016" xr:uid="{00000000-0005-0000-0000-0000F60B0000}"/>
    <cellStyle name="Calculation 11 2 5 2" xfId="3019" xr:uid="{00000000-0005-0000-0000-0000F90B0000}"/>
    <cellStyle name="Calculation 11 2 5 3" xfId="3020" xr:uid="{00000000-0005-0000-0000-0000FA0B0000}"/>
    <cellStyle name="Calculation 11 2 6" xfId="3021" xr:uid="{00000000-0005-0000-0000-0000FB0B0000}"/>
    <cellStyle name="Calculation 11 2 6 2" xfId="3026" xr:uid="{00000000-0005-0000-0000-0000000C0000}"/>
    <cellStyle name="Calculation 11 2 7" xfId="752" xr:uid="{00000000-0005-0000-0000-00001E030000}"/>
    <cellStyle name="Calculation 11 2 7 2" xfId="756" xr:uid="{00000000-0005-0000-0000-000022030000}"/>
    <cellStyle name="Calculation 11 2 8" xfId="771" xr:uid="{00000000-0005-0000-0000-000031030000}"/>
    <cellStyle name="Calculation 11 2 9" xfId="1427" xr:uid="{00000000-0005-0000-0000-0000C1050000}"/>
    <cellStyle name="Calculation 11 3" xfId="2241" xr:uid="{00000000-0005-0000-0000-0000EF080000}"/>
    <cellStyle name="Calculation 11 3 2" xfId="2255" xr:uid="{00000000-0005-0000-0000-0000FD080000}"/>
    <cellStyle name="Calculation 11 3 2 2" xfId="2107" xr:uid="{00000000-0005-0000-0000-000069080000}"/>
    <cellStyle name="Calculation 11 3 2 2 2" xfId="2124" xr:uid="{00000000-0005-0000-0000-00007A080000}"/>
    <cellStyle name="Calculation 11 3 2 3" xfId="2088" xr:uid="{00000000-0005-0000-0000-000056080000}"/>
    <cellStyle name="Calculation 11 3 2 3 2" xfId="2143" xr:uid="{00000000-0005-0000-0000-00008D080000}"/>
    <cellStyle name="Calculation 11 3 2 4" xfId="2149" xr:uid="{00000000-0005-0000-0000-000093080000}"/>
    <cellStyle name="Calculation 11 3 2 4 2" xfId="2053" xr:uid="{00000000-0005-0000-0000-000033080000}"/>
    <cellStyle name="Calculation 11 3 2 5" xfId="595" xr:uid="{00000000-0005-0000-0000-000081020000}"/>
    <cellStyle name="Calculation 11 3 2 6" xfId="2155" xr:uid="{00000000-0005-0000-0000-000099080000}"/>
    <cellStyle name="Calculation 11 3 3" xfId="1765" xr:uid="{00000000-0005-0000-0000-000013070000}"/>
    <cellStyle name="Calculation 11 3 3 2" xfId="215" xr:uid="{00000000-0005-0000-0000-0000F4000000}"/>
    <cellStyle name="Calculation 11 3 3 2 2" xfId="343" xr:uid="{00000000-0005-0000-0000-000085010000}"/>
    <cellStyle name="Calculation 11 3 3 3" xfId="3029" xr:uid="{00000000-0005-0000-0000-0000030C0000}"/>
    <cellStyle name="Calculation 11 3 3 3 2" xfId="2867" xr:uid="{00000000-0005-0000-0000-0000610B0000}"/>
    <cellStyle name="Calculation 11 3 3 4" xfId="3031" xr:uid="{00000000-0005-0000-0000-0000050C0000}"/>
    <cellStyle name="Calculation 11 3 3 4 2" xfId="871" xr:uid="{00000000-0005-0000-0000-000095030000}"/>
    <cellStyle name="Calculation 11 3 3 5" xfId="3035" xr:uid="{00000000-0005-0000-0000-0000090C0000}"/>
    <cellStyle name="Calculation 11 3 3 6" xfId="3040" xr:uid="{00000000-0005-0000-0000-00000E0C0000}"/>
    <cellStyle name="Calculation 11 3 4" xfId="2115" xr:uid="{00000000-0005-0000-0000-000071080000}"/>
    <cellStyle name="Calculation 11 3 4 2" xfId="3043" xr:uid="{00000000-0005-0000-0000-0000110C0000}"/>
    <cellStyle name="Calculation 11 3 4 3" xfId="3045" xr:uid="{00000000-0005-0000-0000-0000130C0000}"/>
    <cellStyle name="Calculation 11 3 5" xfId="2094" xr:uid="{00000000-0005-0000-0000-00005C080000}"/>
    <cellStyle name="Calculation 11 3 5 2" xfId="3046" xr:uid="{00000000-0005-0000-0000-0000140C0000}"/>
    <cellStyle name="Calculation 11 3 6" xfId="3048" xr:uid="{00000000-0005-0000-0000-0000160C0000}"/>
    <cellStyle name="Calculation 11 3 6 2" xfId="3055" xr:uid="{00000000-0005-0000-0000-00001D0C0000}"/>
    <cellStyle name="Calculation 11 3 7" xfId="601" xr:uid="{00000000-0005-0000-0000-000087020000}"/>
    <cellStyle name="Calculation 11 3 8" xfId="3056" xr:uid="{00000000-0005-0000-0000-00001E0C0000}"/>
    <cellStyle name="Calculation 11 3 9" xfId="177" xr:uid="{00000000-0005-0000-0000-0000C8000000}"/>
    <cellStyle name="Calculation 11 4" xfId="2263" xr:uid="{00000000-0005-0000-0000-000005090000}"/>
    <cellStyle name="Calculation 11 4 2" xfId="2274" xr:uid="{00000000-0005-0000-0000-000010090000}"/>
    <cellStyle name="Calculation 11 4 2 2" xfId="3057" xr:uid="{00000000-0005-0000-0000-00001F0C0000}"/>
    <cellStyle name="Calculation 11 4 2 3" xfId="1434" xr:uid="{00000000-0005-0000-0000-0000C8050000}"/>
    <cellStyle name="Calculation 11 4 3" xfId="3062" xr:uid="{00000000-0005-0000-0000-0000240C0000}"/>
    <cellStyle name="Calculation 11 4 3 2" xfId="3066" xr:uid="{00000000-0005-0000-0000-0000280C0000}"/>
    <cellStyle name="Calculation 11 4 4" xfId="219" xr:uid="{00000000-0005-0000-0000-0000F8000000}"/>
    <cellStyle name="Calculation 11 4 4 2" xfId="3071" xr:uid="{00000000-0005-0000-0000-00002D0C0000}"/>
    <cellStyle name="Calculation 11 4 5" xfId="3074" xr:uid="{00000000-0005-0000-0000-0000300C0000}"/>
    <cellStyle name="Calculation 11 4 6" xfId="3078" xr:uid="{00000000-0005-0000-0000-0000340C0000}"/>
    <cellStyle name="Calculation 11 4 7" xfId="3080" xr:uid="{00000000-0005-0000-0000-0000360C0000}"/>
    <cellStyle name="Calculation 11 5" xfId="2281" xr:uid="{00000000-0005-0000-0000-000017090000}"/>
    <cellStyle name="Calculation 11 5 2" xfId="837" xr:uid="{00000000-0005-0000-0000-000073030000}"/>
    <cellStyle name="Calculation 11 5 2 2" xfId="2298" xr:uid="{00000000-0005-0000-0000-000028090000}"/>
    <cellStyle name="Calculation 11 5 2 3" xfId="3083" xr:uid="{00000000-0005-0000-0000-0000390C0000}"/>
    <cellStyle name="Calculation 11 5 3" xfId="3084" xr:uid="{00000000-0005-0000-0000-00003A0C0000}"/>
    <cellStyle name="Calculation 11 5 3 2" xfId="2565" xr:uid="{00000000-0005-0000-0000-0000330A0000}"/>
    <cellStyle name="Calculation 11 5 4" xfId="2119" xr:uid="{00000000-0005-0000-0000-000075080000}"/>
    <cellStyle name="Calculation 11 5 4 2" xfId="2310" xr:uid="{00000000-0005-0000-0000-000034090000}"/>
    <cellStyle name="Calculation 11 5 5" xfId="3090" xr:uid="{00000000-0005-0000-0000-0000400C0000}"/>
    <cellStyle name="Calculation 11 5 6" xfId="1504" xr:uid="{00000000-0005-0000-0000-00000E060000}"/>
    <cellStyle name="Calculation 11 5 7" xfId="2350" xr:uid="{00000000-0005-0000-0000-00005C090000}"/>
    <cellStyle name="Calculation 11 6" xfId="3092" xr:uid="{00000000-0005-0000-0000-0000420C0000}"/>
    <cellStyle name="Calculation 11 6 2" xfId="3093" xr:uid="{00000000-0005-0000-0000-0000430C0000}"/>
    <cellStyle name="Calculation 11 6 3" xfId="3096" xr:uid="{00000000-0005-0000-0000-0000460C0000}"/>
    <cellStyle name="Calculation 11 6 4" xfId="2134" xr:uid="{00000000-0005-0000-0000-000084080000}"/>
    <cellStyle name="Calculation 11 7" xfId="3100" xr:uid="{00000000-0005-0000-0000-00004A0C0000}"/>
    <cellStyle name="Calculation 11 7 2" xfId="3103" xr:uid="{00000000-0005-0000-0000-00004D0C0000}"/>
    <cellStyle name="Calculation 11 7 3" xfId="2032" xr:uid="{00000000-0005-0000-0000-00001E080000}"/>
    <cellStyle name="Calculation 11 7 4" xfId="2048" xr:uid="{00000000-0005-0000-0000-00002E080000}"/>
    <cellStyle name="Calculation 11 8" xfId="141" xr:uid="{00000000-0005-0000-0000-00009E000000}"/>
    <cellStyle name="Calculation 11 8 2" xfId="1677" xr:uid="{00000000-0005-0000-0000-0000BB060000}"/>
    <cellStyle name="Calculation 11 8 3" xfId="2633" xr:uid="{00000000-0005-0000-0000-0000770A0000}"/>
    <cellStyle name="Calculation 11 8 4" xfId="603" xr:uid="{00000000-0005-0000-0000-000089020000}"/>
    <cellStyle name="Calculation 11 9" xfId="3105" xr:uid="{00000000-0005-0000-0000-00004F0C0000}"/>
    <cellStyle name="Calculation 11 9 2" xfId="3106" xr:uid="{00000000-0005-0000-0000-0000500C0000}"/>
    <cellStyle name="Calculation 12" xfId="3108" xr:uid="{00000000-0005-0000-0000-0000520C0000}"/>
    <cellStyle name="Calculation 12 10" xfId="3116" xr:uid="{00000000-0005-0000-0000-00005A0C0000}"/>
    <cellStyle name="Calculation 12 10 2" xfId="3121" xr:uid="{00000000-0005-0000-0000-00005F0C0000}"/>
    <cellStyle name="Calculation 12 11" xfId="3130" xr:uid="{00000000-0005-0000-0000-0000680C0000}"/>
    <cellStyle name="Calculation 12 12" xfId="1402" xr:uid="{00000000-0005-0000-0000-0000A8050000}"/>
    <cellStyle name="Calculation 12 13" xfId="3138" xr:uid="{00000000-0005-0000-0000-0000700C0000}"/>
    <cellStyle name="Calculation 12 2" xfId="2481" xr:uid="{00000000-0005-0000-0000-0000DF090000}"/>
    <cellStyle name="Calculation 12 2 10" xfId="3142" xr:uid="{00000000-0005-0000-0000-0000740C0000}"/>
    <cellStyle name="Calculation 12 2 2" xfId="2495" xr:uid="{00000000-0005-0000-0000-0000ED090000}"/>
    <cellStyle name="Calculation 12 2 2 2" xfId="3143" xr:uid="{00000000-0005-0000-0000-0000750C0000}"/>
    <cellStyle name="Calculation 12 2 2 2 2" xfId="1828" xr:uid="{00000000-0005-0000-0000-000052070000}"/>
    <cellStyle name="Calculation 12 2 2 2 2 2" xfId="1831" xr:uid="{00000000-0005-0000-0000-000055070000}"/>
    <cellStyle name="Calculation 12 2 2 2 3" xfId="1577" xr:uid="{00000000-0005-0000-0000-000057060000}"/>
    <cellStyle name="Calculation 12 2 2 2 3 2" xfId="1584" xr:uid="{00000000-0005-0000-0000-00005E060000}"/>
    <cellStyle name="Calculation 12 2 2 2 4" xfId="722" xr:uid="{00000000-0005-0000-0000-000000030000}"/>
    <cellStyle name="Calculation 12 2 2 2 4 2" xfId="1598" xr:uid="{00000000-0005-0000-0000-00006C060000}"/>
    <cellStyle name="Calculation 12 2 2 2 5" xfId="1604" xr:uid="{00000000-0005-0000-0000-000072060000}"/>
    <cellStyle name="Calculation 12 2 2 2 6" xfId="1617" xr:uid="{00000000-0005-0000-0000-00007F060000}"/>
    <cellStyle name="Calculation 12 2 2 3" xfId="2387" xr:uid="{00000000-0005-0000-0000-000081090000}"/>
    <cellStyle name="Calculation 12 2 2 3 2" xfId="3145" xr:uid="{00000000-0005-0000-0000-0000770C0000}"/>
    <cellStyle name="Calculation 12 2 2 3 2 2" xfId="3146" xr:uid="{00000000-0005-0000-0000-0000780C0000}"/>
    <cellStyle name="Calculation 12 2 2 3 3" xfId="1638" xr:uid="{00000000-0005-0000-0000-000094060000}"/>
    <cellStyle name="Calculation 12 2 2 3 3 2" xfId="3148" xr:uid="{00000000-0005-0000-0000-00007A0C0000}"/>
    <cellStyle name="Calculation 12 2 2 3 4" xfId="1233" xr:uid="{00000000-0005-0000-0000-0000FF040000}"/>
    <cellStyle name="Calculation 12 2 2 3 4 2" xfId="487" xr:uid="{00000000-0005-0000-0000-000015020000}"/>
    <cellStyle name="Calculation 12 2 2 3 5" xfId="1238" xr:uid="{00000000-0005-0000-0000-000004050000}"/>
    <cellStyle name="Calculation 12 2 2 3 6" xfId="3150" xr:uid="{00000000-0005-0000-0000-00007C0C0000}"/>
    <cellStyle name="Calculation 12 2 2 4" xfId="3151" xr:uid="{00000000-0005-0000-0000-00007D0C0000}"/>
    <cellStyle name="Calculation 12 2 2 4 2" xfId="3156" xr:uid="{00000000-0005-0000-0000-0000820C0000}"/>
    <cellStyle name="Calculation 12 2 2 5" xfId="627" xr:uid="{00000000-0005-0000-0000-0000A1020000}"/>
    <cellStyle name="Calculation 12 2 2 5 2" xfId="3157" xr:uid="{00000000-0005-0000-0000-0000830C0000}"/>
    <cellStyle name="Calculation 12 2 2 6" xfId="634" xr:uid="{00000000-0005-0000-0000-0000A8020000}"/>
    <cellStyle name="Calculation 12 2 2 6 2" xfId="3158" xr:uid="{00000000-0005-0000-0000-0000840C0000}"/>
    <cellStyle name="Calculation 12 2 2 7" xfId="3159" xr:uid="{00000000-0005-0000-0000-0000850C0000}"/>
    <cellStyle name="Calculation 12 2 2 8" xfId="3161" xr:uid="{00000000-0005-0000-0000-0000870C0000}"/>
    <cellStyle name="Calculation 12 2 2 9" xfId="2723" xr:uid="{00000000-0005-0000-0000-0000D10A0000}"/>
    <cellStyle name="Calculation 12 2 3" xfId="3163" xr:uid="{00000000-0005-0000-0000-0000890C0000}"/>
    <cellStyle name="Calculation 12 2 3 2" xfId="3165" xr:uid="{00000000-0005-0000-0000-00008B0C0000}"/>
    <cellStyle name="Calculation 12 2 3 2 2" xfId="2754" xr:uid="{00000000-0005-0000-0000-0000F00A0000}"/>
    <cellStyle name="Calculation 12 2 3 3" xfId="326" xr:uid="{00000000-0005-0000-0000-000074010000}"/>
    <cellStyle name="Calculation 12 2 3 3 2" xfId="472" xr:uid="{00000000-0005-0000-0000-000006020000}"/>
    <cellStyle name="Calculation 12 2 3 4" xfId="3166" xr:uid="{00000000-0005-0000-0000-00008C0C0000}"/>
    <cellStyle name="Calculation 12 2 3 4 2" xfId="3171" xr:uid="{00000000-0005-0000-0000-0000910C0000}"/>
    <cellStyle name="Calculation 12 2 3 5" xfId="663" xr:uid="{00000000-0005-0000-0000-0000C5020000}"/>
    <cellStyle name="Calculation 12 2 3 6" xfId="681" xr:uid="{00000000-0005-0000-0000-0000D7020000}"/>
    <cellStyle name="Calculation 12 2 4" xfId="175" xr:uid="{00000000-0005-0000-0000-0000C6000000}"/>
    <cellStyle name="Calculation 12 2 4 2" xfId="3176" xr:uid="{00000000-0005-0000-0000-0000960C0000}"/>
    <cellStyle name="Calculation 12 2 4 2 2" xfId="3179" xr:uid="{00000000-0005-0000-0000-0000990C0000}"/>
    <cellStyle name="Calculation 12 2 4 3" xfId="2406" xr:uid="{00000000-0005-0000-0000-000094090000}"/>
    <cellStyle name="Calculation 12 2 4 3 2" xfId="186" xr:uid="{00000000-0005-0000-0000-0000D2000000}"/>
    <cellStyle name="Calculation 12 2 4 4" xfId="292" xr:uid="{00000000-0005-0000-0000-00004E010000}"/>
    <cellStyle name="Calculation 12 2 4 4 2" xfId="1475" xr:uid="{00000000-0005-0000-0000-0000F1050000}"/>
    <cellStyle name="Calculation 12 2 4 5" xfId="3185" xr:uid="{00000000-0005-0000-0000-00009F0C0000}"/>
    <cellStyle name="Calculation 12 2 4 6" xfId="2574" xr:uid="{00000000-0005-0000-0000-00003C0A0000}"/>
    <cellStyle name="Calculation 12 2 5" xfId="355" xr:uid="{00000000-0005-0000-0000-000091010000}"/>
    <cellStyle name="Calculation 12 2 5 2" xfId="3196" xr:uid="{00000000-0005-0000-0000-0000AA0C0000}"/>
    <cellStyle name="Calculation 12 2 5 3" xfId="1893" xr:uid="{00000000-0005-0000-0000-000093070000}"/>
    <cellStyle name="Calculation 12 2 6" xfId="3205" xr:uid="{00000000-0005-0000-0000-0000B30C0000}"/>
    <cellStyle name="Calculation 12 2 6 2" xfId="3217" xr:uid="{00000000-0005-0000-0000-0000BF0C0000}"/>
    <cellStyle name="Calculation 12 2 7" xfId="3221" xr:uid="{00000000-0005-0000-0000-0000C30C0000}"/>
    <cellStyle name="Calculation 12 2 7 2" xfId="3227" xr:uid="{00000000-0005-0000-0000-0000C90C0000}"/>
    <cellStyle name="Calculation 12 2 8" xfId="1195" xr:uid="{00000000-0005-0000-0000-0000D9040000}"/>
    <cellStyle name="Calculation 12 2 9" xfId="3230" xr:uid="{00000000-0005-0000-0000-0000CC0C0000}"/>
    <cellStyle name="Calculation 12 3" xfId="2508" xr:uid="{00000000-0005-0000-0000-0000FA090000}"/>
    <cellStyle name="Calculation 12 3 2" xfId="2519" xr:uid="{00000000-0005-0000-0000-0000050A0000}"/>
    <cellStyle name="Calculation 12 3 2 2" xfId="3231" xr:uid="{00000000-0005-0000-0000-0000CD0C0000}"/>
    <cellStyle name="Calculation 12 3 2 2 2" xfId="2936" xr:uid="{00000000-0005-0000-0000-0000A60B0000}"/>
    <cellStyle name="Calculation 12 3 2 3" xfId="3233" xr:uid="{00000000-0005-0000-0000-0000CF0C0000}"/>
    <cellStyle name="Calculation 12 3 2 3 2" xfId="3238" xr:uid="{00000000-0005-0000-0000-0000D40C0000}"/>
    <cellStyle name="Calculation 12 3 2 4" xfId="3240" xr:uid="{00000000-0005-0000-0000-0000D60C0000}"/>
    <cellStyle name="Calculation 12 3 2 4 2" xfId="2307" xr:uid="{00000000-0005-0000-0000-000031090000}"/>
    <cellStyle name="Calculation 12 3 2 5" xfId="3246" xr:uid="{00000000-0005-0000-0000-0000DC0C0000}"/>
    <cellStyle name="Calculation 12 3 2 6" xfId="3250" xr:uid="{00000000-0005-0000-0000-0000E00C0000}"/>
    <cellStyle name="Calculation 12 3 3" xfId="3255" xr:uid="{00000000-0005-0000-0000-0000E50C0000}"/>
    <cellStyle name="Calculation 12 3 3 2" xfId="3257" xr:uid="{00000000-0005-0000-0000-0000E70C0000}"/>
    <cellStyle name="Calculation 12 3 3 2 2" xfId="3259" xr:uid="{00000000-0005-0000-0000-0000E90C0000}"/>
    <cellStyle name="Calculation 12 3 3 3" xfId="3260" xr:uid="{00000000-0005-0000-0000-0000EA0C0000}"/>
    <cellStyle name="Calculation 12 3 3 3 2" xfId="3160" xr:uid="{00000000-0005-0000-0000-0000860C0000}"/>
    <cellStyle name="Calculation 12 3 3 4" xfId="3261" xr:uid="{00000000-0005-0000-0000-0000EB0C0000}"/>
    <cellStyle name="Calculation 12 3 3 4 2" xfId="3268" xr:uid="{00000000-0005-0000-0000-0000F20C0000}"/>
    <cellStyle name="Calculation 12 3 3 5" xfId="3270" xr:uid="{00000000-0005-0000-0000-0000F40C0000}"/>
    <cellStyle name="Calculation 12 3 3 6" xfId="2318" xr:uid="{00000000-0005-0000-0000-00003C090000}"/>
    <cellStyle name="Calculation 12 3 4" xfId="3274" xr:uid="{00000000-0005-0000-0000-0000F80C0000}"/>
    <cellStyle name="Calculation 12 3 4 2" xfId="3285" xr:uid="{00000000-0005-0000-0000-0000030D0000}"/>
    <cellStyle name="Calculation 12 3 4 3" xfId="3293" xr:uid="{00000000-0005-0000-0000-00000B0D0000}"/>
    <cellStyle name="Calculation 12 3 5" xfId="3295" xr:uid="{00000000-0005-0000-0000-00000D0D0000}"/>
    <cellStyle name="Calculation 12 3 5 2" xfId="3306" xr:uid="{00000000-0005-0000-0000-0000180D0000}"/>
    <cellStyle name="Calculation 12 3 6" xfId="3312" xr:uid="{00000000-0005-0000-0000-00001E0D0000}"/>
    <cellStyle name="Calculation 12 3 6 2" xfId="3322" xr:uid="{00000000-0005-0000-0000-0000280D0000}"/>
    <cellStyle name="Calculation 12 3 7" xfId="3329" xr:uid="{00000000-0005-0000-0000-00002F0D0000}"/>
    <cellStyle name="Calculation 12 3 8" xfId="3332" xr:uid="{00000000-0005-0000-0000-0000320D0000}"/>
    <cellStyle name="Calculation 12 3 9" xfId="3336" xr:uid="{00000000-0005-0000-0000-0000360D0000}"/>
    <cellStyle name="Calculation 12 4" xfId="3338" xr:uid="{00000000-0005-0000-0000-0000380D0000}"/>
    <cellStyle name="Calculation 12 4 2" xfId="1217" xr:uid="{00000000-0005-0000-0000-0000EF040000}"/>
    <cellStyle name="Calculation 12 4 2 2" xfId="1870" xr:uid="{00000000-0005-0000-0000-00007C070000}"/>
    <cellStyle name="Calculation 12 4 2 3" xfId="1880" xr:uid="{00000000-0005-0000-0000-000086070000}"/>
    <cellStyle name="Calculation 12 4 3" xfId="2820" xr:uid="{00000000-0005-0000-0000-0000320B0000}"/>
    <cellStyle name="Calculation 12 4 3 2" xfId="2006" xr:uid="{00000000-0005-0000-0000-000004080000}"/>
    <cellStyle name="Calculation 12 4 4" xfId="32" xr:uid="{00000000-0005-0000-0000-000026000000}"/>
    <cellStyle name="Calculation 12 4 4 2" xfId="2250" xr:uid="{00000000-0005-0000-0000-0000F8080000}"/>
    <cellStyle name="Calculation 12 4 5" xfId="2824" xr:uid="{00000000-0005-0000-0000-0000360B0000}"/>
    <cellStyle name="Calculation 12 4 6" xfId="2829" xr:uid="{00000000-0005-0000-0000-00003B0B0000}"/>
    <cellStyle name="Calculation 12 4 7" xfId="2837" xr:uid="{00000000-0005-0000-0000-0000430B0000}"/>
    <cellStyle name="Calculation 12 5" xfId="3339" xr:uid="{00000000-0005-0000-0000-0000390D0000}"/>
    <cellStyle name="Calculation 12 5 2" xfId="2531" xr:uid="{00000000-0005-0000-0000-0000110A0000}"/>
    <cellStyle name="Calculation 12 5 2 2" xfId="763" xr:uid="{00000000-0005-0000-0000-000029030000}"/>
    <cellStyle name="Calculation 12 5 2 3" xfId="1430" xr:uid="{00000000-0005-0000-0000-0000C4050000}"/>
    <cellStyle name="Calculation 12 5 3" xfId="953" xr:uid="{00000000-0005-0000-0000-0000E7030000}"/>
    <cellStyle name="Calculation 12 5 3 2" xfId="3340" xr:uid="{00000000-0005-0000-0000-00003A0D0000}"/>
    <cellStyle name="Calculation 12 5 4" xfId="346" xr:uid="{00000000-0005-0000-0000-000088010000}"/>
    <cellStyle name="Calculation 12 5 4 2" xfId="3347" xr:uid="{00000000-0005-0000-0000-0000410D0000}"/>
    <cellStyle name="Calculation 12 5 5" xfId="3348" xr:uid="{00000000-0005-0000-0000-0000420D0000}"/>
    <cellStyle name="Calculation 12 5 6" xfId="3350" xr:uid="{00000000-0005-0000-0000-0000440D0000}"/>
    <cellStyle name="Calculation 12 5 7" xfId="3353" xr:uid="{00000000-0005-0000-0000-0000470D0000}"/>
    <cellStyle name="Calculation 12 6" xfId="3355" xr:uid="{00000000-0005-0000-0000-0000490D0000}"/>
    <cellStyle name="Calculation 12 6 2" xfId="1105" xr:uid="{00000000-0005-0000-0000-00007F040000}"/>
    <cellStyle name="Calculation 12 6 3" xfId="2862" xr:uid="{00000000-0005-0000-0000-00005C0B0000}"/>
    <cellStyle name="Calculation 12 6 4" xfId="2871" xr:uid="{00000000-0005-0000-0000-0000650B0000}"/>
    <cellStyle name="Calculation 12 7" xfId="3356" xr:uid="{00000000-0005-0000-0000-00004A0D0000}"/>
    <cellStyle name="Calculation 12 7 2" xfId="225" xr:uid="{00000000-0005-0000-0000-0000FE000000}"/>
    <cellStyle name="Calculation 12 7 3" xfId="851" xr:uid="{00000000-0005-0000-0000-000081030000}"/>
    <cellStyle name="Calculation 12 7 4" xfId="864" xr:uid="{00000000-0005-0000-0000-00008E030000}"/>
    <cellStyle name="Calculation 12 8" xfId="3362" xr:uid="{00000000-0005-0000-0000-0000500D0000}"/>
    <cellStyle name="Calculation 12 8 2" xfId="2776" xr:uid="{00000000-0005-0000-0000-0000060B0000}"/>
    <cellStyle name="Calculation 12 8 3" xfId="1262" xr:uid="{00000000-0005-0000-0000-00001C050000}"/>
    <cellStyle name="Calculation 12 8 4" xfId="3365" xr:uid="{00000000-0005-0000-0000-0000530D0000}"/>
    <cellStyle name="Calculation 12 9" xfId="3376" xr:uid="{00000000-0005-0000-0000-00005E0D0000}"/>
    <cellStyle name="Calculation 12 9 2" xfId="3377" xr:uid="{00000000-0005-0000-0000-00005F0D0000}"/>
    <cellStyle name="Calculation 13" xfId="3378" xr:uid="{00000000-0005-0000-0000-0000600D0000}"/>
    <cellStyle name="Calculation 13 10" xfId="3381" xr:uid="{00000000-0005-0000-0000-0000630D0000}"/>
    <cellStyle name="Calculation 13 2" xfId="3383" xr:uid="{00000000-0005-0000-0000-0000650D0000}"/>
    <cellStyle name="Calculation 13 2 2" xfId="3385" xr:uid="{00000000-0005-0000-0000-0000670D0000}"/>
    <cellStyle name="Calculation 13 2 2 2" xfId="3386" xr:uid="{00000000-0005-0000-0000-0000680D0000}"/>
    <cellStyle name="Calculation 13 2 2 2 2" xfId="3387" xr:uid="{00000000-0005-0000-0000-0000690D0000}"/>
    <cellStyle name="Calculation 13 2 2 3" xfId="3389" xr:uid="{00000000-0005-0000-0000-00006B0D0000}"/>
    <cellStyle name="Calculation 13 2 2 3 2" xfId="3390" xr:uid="{00000000-0005-0000-0000-00006C0D0000}"/>
    <cellStyle name="Calculation 13 2 2 4" xfId="3392" xr:uid="{00000000-0005-0000-0000-00006E0D0000}"/>
    <cellStyle name="Calculation 13 2 2 4 2" xfId="3395" xr:uid="{00000000-0005-0000-0000-0000710D0000}"/>
    <cellStyle name="Calculation 13 2 2 5" xfId="3396" xr:uid="{00000000-0005-0000-0000-0000720D0000}"/>
    <cellStyle name="Calculation 13 2 2 6" xfId="3398" xr:uid="{00000000-0005-0000-0000-0000740D0000}"/>
    <cellStyle name="Calculation 13 2 3" xfId="3399" xr:uid="{00000000-0005-0000-0000-0000750D0000}"/>
    <cellStyle name="Calculation 13 2 3 2" xfId="3403" xr:uid="{00000000-0005-0000-0000-0000790D0000}"/>
    <cellStyle name="Calculation 13 2 3 2 2" xfId="3407" xr:uid="{00000000-0005-0000-0000-00007D0D0000}"/>
    <cellStyle name="Calculation 13 2 3 3" xfId="3411" xr:uid="{00000000-0005-0000-0000-0000810D0000}"/>
    <cellStyle name="Calculation 13 2 3 3 2" xfId="1381" xr:uid="{00000000-0005-0000-0000-000093050000}"/>
    <cellStyle name="Calculation 13 2 3 4" xfId="3414" xr:uid="{00000000-0005-0000-0000-0000840D0000}"/>
    <cellStyle name="Calculation 13 2 3 4 2" xfId="1974" xr:uid="{00000000-0005-0000-0000-0000E4070000}"/>
    <cellStyle name="Calculation 13 2 3 5" xfId="3419" xr:uid="{00000000-0005-0000-0000-0000890D0000}"/>
    <cellStyle name="Calculation 13 2 3 6" xfId="3422" xr:uid="{00000000-0005-0000-0000-00008C0D0000}"/>
    <cellStyle name="Calculation 13 2 4" xfId="3426" xr:uid="{00000000-0005-0000-0000-0000900D0000}"/>
    <cellStyle name="Calculation 13 2 4 2" xfId="1171" xr:uid="{00000000-0005-0000-0000-0000C1040000}"/>
    <cellStyle name="Calculation 13 2 4 3" xfId="3429" xr:uid="{00000000-0005-0000-0000-0000930D0000}"/>
    <cellStyle name="Calculation 13 2 5" xfId="3173" xr:uid="{00000000-0005-0000-0000-0000930C0000}"/>
    <cellStyle name="Calculation 13 2 5 2" xfId="3181" xr:uid="{00000000-0005-0000-0000-00009B0C0000}"/>
    <cellStyle name="Calculation 13 2 6" xfId="2401" xr:uid="{00000000-0005-0000-0000-00008F090000}"/>
    <cellStyle name="Calculation 13 2 6 2" xfId="182" xr:uid="{00000000-0005-0000-0000-0000CE000000}"/>
    <cellStyle name="Calculation 13 2 7" xfId="294" xr:uid="{00000000-0005-0000-0000-000050010000}"/>
    <cellStyle name="Calculation 13 2 8" xfId="3183" xr:uid="{00000000-0005-0000-0000-00009D0C0000}"/>
    <cellStyle name="Calculation 13 2 9" xfId="2573" xr:uid="{00000000-0005-0000-0000-00003B0A0000}"/>
    <cellStyle name="Calculation 13 3" xfId="3431" xr:uid="{00000000-0005-0000-0000-0000950D0000}"/>
    <cellStyle name="Calculation 13 3 2" xfId="3434" xr:uid="{00000000-0005-0000-0000-0000980D0000}"/>
    <cellStyle name="Calculation 13 3 2 2" xfId="3437" xr:uid="{00000000-0005-0000-0000-00009B0D0000}"/>
    <cellStyle name="Calculation 13 3 3" xfId="3442" xr:uid="{00000000-0005-0000-0000-0000A00D0000}"/>
    <cellStyle name="Calculation 13 3 3 2" xfId="822" xr:uid="{00000000-0005-0000-0000-000064030000}"/>
    <cellStyle name="Calculation 13 3 4" xfId="3446" xr:uid="{00000000-0005-0000-0000-0000A40D0000}"/>
    <cellStyle name="Calculation 13 3 4 2" xfId="1190" xr:uid="{00000000-0005-0000-0000-0000D4040000}"/>
    <cellStyle name="Calculation 13 3 5" xfId="3193" xr:uid="{00000000-0005-0000-0000-0000A70C0000}"/>
    <cellStyle name="Calculation 13 3 6" xfId="1903" xr:uid="{00000000-0005-0000-0000-00009D070000}"/>
    <cellStyle name="Calculation 13 3 7" xfId="3451" xr:uid="{00000000-0005-0000-0000-0000A90D0000}"/>
    <cellStyle name="Calculation 13 4" xfId="3452" xr:uid="{00000000-0005-0000-0000-0000AA0D0000}"/>
    <cellStyle name="Calculation 13 4 2" xfId="2681" xr:uid="{00000000-0005-0000-0000-0000A70A0000}"/>
    <cellStyle name="Calculation 13 4 2 2" xfId="502" xr:uid="{00000000-0005-0000-0000-000024020000}"/>
    <cellStyle name="Calculation 13 4 3" xfId="588" xr:uid="{00000000-0005-0000-0000-00007A020000}"/>
    <cellStyle name="Calculation 13 4 3 2" xfId="3454" xr:uid="{00000000-0005-0000-0000-0000AC0D0000}"/>
    <cellStyle name="Calculation 13 4 4" xfId="2888" xr:uid="{00000000-0005-0000-0000-0000760B0000}"/>
    <cellStyle name="Calculation 13 4 4 2" xfId="666" xr:uid="{00000000-0005-0000-0000-0000C8020000}"/>
    <cellStyle name="Calculation 13 4 5" xfId="3213" xr:uid="{00000000-0005-0000-0000-0000BB0C0000}"/>
    <cellStyle name="Calculation 13 4 6" xfId="2411" xr:uid="{00000000-0005-0000-0000-000099090000}"/>
    <cellStyle name="Calculation 13 5" xfId="3460" xr:uid="{00000000-0005-0000-0000-0000B20D0000}"/>
    <cellStyle name="Calculation 13 5 2" xfId="2690" xr:uid="{00000000-0005-0000-0000-0000B00A0000}"/>
    <cellStyle name="Calculation 13 5 3" xfId="2894" xr:uid="{00000000-0005-0000-0000-00007C0B0000}"/>
    <cellStyle name="Calculation 13 6" xfId="3461" xr:uid="{00000000-0005-0000-0000-0000B30D0000}"/>
    <cellStyle name="Calculation 13 6 2" xfId="3463" xr:uid="{00000000-0005-0000-0000-0000B50D0000}"/>
    <cellStyle name="Calculation 13 7" xfId="3467" xr:uid="{00000000-0005-0000-0000-0000B90D0000}"/>
    <cellStyle name="Calculation 13 7 2" xfId="3470" xr:uid="{00000000-0005-0000-0000-0000BC0D0000}"/>
    <cellStyle name="Calculation 13 8" xfId="3473" xr:uid="{00000000-0005-0000-0000-0000BF0D0000}"/>
    <cellStyle name="Calculation 13 9" xfId="3477" xr:uid="{00000000-0005-0000-0000-0000C30D0000}"/>
    <cellStyle name="Calculation 14" xfId="3053" xr:uid="{00000000-0005-0000-0000-00001B0C0000}"/>
    <cellStyle name="Calculation 14 10" xfId="3485" xr:uid="{00000000-0005-0000-0000-0000CB0D0000}"/>
    <cellStyle name="Calculation 14 2" xfId="298" xr:uid="{00000000-0005-0000-0000-000054010000}"/>
    <cellStyle name="Calculation 14 2 2" xfId="1739" xr:uid="{00000000-0005-0000-0000-0000F9060000}"/>
    <cellStyle name="Calculation 14 2 2 2" xfId="1742" xr:uid="{00000000-0005-0000-0000-0000FC060000}"/>
    <cellStyle name="Calculation 14 2 2 2 2" xfId="297" xr:uid="{00000000-0005-0000-0000-000053010000}"/>
    <cellStyle name="Calculation 14 2 2 3" xfId="686" xr:uid="{00000000-0005-0000-0000-0000DC020000}"/>
    <cellStyle name="Calculation 14 2 2 3 2" xfId="693" xr:uid="{00000000-0005-0000-0000-0000E3020000}"/>
    <cellStyle name="Calculation 14 2 2 4" xfId="3488" xr:uid="{00000000-0005-0000-0000-0000CE0D0000}"/>
    <cellStyle name="Calculation 14 2 2 4 2" xfId="3494" xr:uid="{00000000-0005-0000-0000-0000D40D0000}"/>
    <cellStyle name="Calculation 14 2 2 5" xfId="3497" xr:uid="{00000000-0005-0000-0000-0000D70D0000}"/>
    <cellStyle name="Calculation 14 2 2 6" xfId="3499" xr:uid="{00000000-0005-0000-0000-0000D90D0000}"/>
    <cellStyle name="Calculation 14 2 3" xfId="1518" xr:uid="{00000000-0005-0000-0000-00001C060000}"/>
    <cellStyle name="Calculation 14 2 3 2" xfId="1745" xr:uid="{00000000-0005-0000-0000-0000FF060000}"/>
    <cellStyle name="Calculation 14 2 3 2 2" xfId="1748" xr:uid="{00000000-0005-0000-0000-000002070000}"/>
    <cellStyle name="Calculation 14 2 3 3" xfId="3503" xr:uid="{00000000-0005-0000-0000-0000DD0D0000}"/>
    <cellStyle name="Calculation 14 2 3 3 2" xfId="3504" xr:uid="{00000000-0005-0000-0000-0000DE0D0000}"/>
    <cellStyle name="Calculation 14 2 3 4" xfId="3505" xr:uid="{00000000-0005-0000-0000-0000DF0D0000}"/>
    <cellStyle name="Calculation 14 2 3 4 2" xfId="3508" xr:uid="{00000000-0005-0000-0000-0000E20D0000}"/>
    <cellStyle name="Calculation 14 2 3 5" xfId="3510" xr:uid="{00000000-0005-0000-0000-0000E40D0000}"/>
    <cellStyle name="Calculation 14 2 3 6" xfId="3515" xr:uid="{00000000-0005-0000-0000-0000E90D0000}"/>
    <cellStyle name="Calculation 14 2 4" xfId="1752" xr:uid="{00000000-0005-0000-0000-000006070000}"/>
    <cellStyle name="Calculation 14 2 4 2" xfId="3518" xr:uid="{00000000-0005-0000-0000-0000EC0D0000}"/>
    <cellStyle name="Calculation 14 2 5" xfId="3281" xr:uid="{00000000-0005-0000-0000-0000FF0C0000}"/>
    <cellStyle name="Calculation 14 2 5 2" xfId="3520" xr:uid="{00000000-0005-0000-0000-0000EE0D0000}"/>
    <cellStyle name="Calculation 14 2 6" xfId="3290" xr:uid="{00000000-0005-0000-0000-0000080D0000}"/>
    <cellStyle name="Calculation 14 2 6 2" xfId="3524" xr:uid="{00000000-0005-0000-0000-0000F20D0000}"/>
    <cellStyle name="Calculation 14 2 7" xfId="3528" xr:uid="{00000000-0005-0000-0000-0000F60D0000}"/>
    <cellStyle name="Calculation 14 2 8" xfId="3534" xr:uid="{00000000-0005-0000-0000-0000FC0D0000}"/>
    <cellStyle name="Calculation 14 2 9" xfId="529" xr:uid="{00000000-0005-0000-0000-00003F020000}"/>
    <cellStyle name="Calculation 14 3" xfId="319" xr:uid="{00000000-0005-0000-0000-00006C010000}"/>
    <cellStyle name="Calculation 14 3 2" xfId="1757" xr:uid="{00000000-0005-0000-0000-00000B070000}"/>
    <cellStyle name="Calculation 14 3 2 2" xfId="384" xr:uid="{00000000-0005-0000-0000-0000AE010000}"/>
    <cellStyle name="Calculation 14 3 3" xfId="1779" xr:uid="{00000000-0005-0000-0000-000021070000}"/>
    <cellStyle name="Calculation 14 3 3 2" xfId="64" xr:uid="{00000000-0005-0000-0000-000049000000}"/>
    <cellStyle name="Calculation 14 3 4" xfId="1786" xr:uid="{00000000-0005-0000-0000-000028070000}"/>
    <cellStyle name="Calculation 14 3 4 2" xfId="3542" xr:uid="{00000000-0005-0000-0000-0000040E0000}"/>
    <cellStyle name="Calculation 14 3 5" xfId="3304" xr:uid="{00000000-0005-0000-0000-0000160D0000}"/>
    <cellStyle name="Calculation 14 3 6" xfId="3550" xr:uid="{00000000-0005-0000-0000-00000C0E0000}"/>
    <cellStyle name="Calculation 14 4" xfId="3553" xr:uid="{00000000-0005-0000-0000-00000F0E0000}"/>
    <cellStyle name="Calculation 14 4 2" xfId="3557" xr:uid="{00000000-0005-0000-0000-0000130E0000}"/>
    <cellStyle name="Calculation 14 4 2 2" xfId="3562" xr:uid="{00000000-0005-0000-0000-0000180E0000}"/>
    <cellStyle name="Calculation 14 4 3" xfId="3565" xr:uid="{00000000-0005-0000-0000-00001B0E0000}"/>
    <cellStyle name="Calculation 14 4 3 2" xfId="3569" xr:uid="{00000000-0005-0000-0000-00001F0E0000}"/>
    <cellStyle name="Calculation 14 4 4" xfId="3576" xr:uid="{00000000-0005-0000-0000-0000260E0000}"/>
    <cellStyle name="Calculation 14 4 4 2" xfId="3577" xr:uid="{00000000-0005-0000-0000-0000270E0000}"/>
    <cellStyle name="Calculation 14 4 5" xfId="3326" xr:uid="{00000000-0005-0000-0000-00002C0D0000}"/>
    <cellStyle name="Calculation 14 4 6" xfId="3580" xr:uid="{00000000-0005-0000-0000-00002A0E0000}"/>
    <cellStyle name="Calculation 14 5" xfId="3584" xr:uid="{00000000-0005-0000-0000-00002E0E0000}"/>
    <cellStyle name="Calculation 14 5 2" xfId="3590" xr:uid="{00000000-0005-0000-0000-0000340E0000}"/>
    <cellStyle name="Calculation 14 5 3" xfId="3596" xr:uid="{00000000-0005-0000-0000-00003A0E0000}"/>
    <cellStyle name="Calculation 14 6" xfId="3597" xr:uid="{00000000-0005-0000-0000-00003B0E0000}"/>
    <cellStyle name="Calculation 14 6 2" xfId="3598" xr:uid="{00000000-0005-0000-0000-00003C0E0000}"/>
    <cellStyle name="Calculation 14 7" xfId="3600" xr:uid="{00000000-0005-0000-0000-00003E0E0000}"/>
    <cellStyle name="Calculation 14 7 2" xfId="3602" xr:uid="{00000000-0005-0000-0000-0000400E0000}"/>
    <cellStyle name="Calculation 14 8" xfId="3604" xr:uid="{00000000-0005-0000-0000-0000420E0000}"/>
    <cellStyle name="Calculation 14 9" xfId="3606" xr:uid="{00000000-0005-0000-0000-0000440E0000}"/>
    <cellStyle name="Calculation 15" xfId="1819" xr:uid="{00000000-0005-0000-0000-000049070000}"/>
    <cellStyle name="Calculation 15 2" xfId="136" xr:uid="{00000000-0005-0000-0000-000098000000}"/>
    <cellStyle name="Calculation 15 2 2" xfId="2206" xr:uid="{00000000-0005-0000-0000-0000CC080000}"/>
    <cellStyle name="Calculation 15 2 2 2" xfId="121" xr:uid="{00000000-0005-0000-0000-000086000000}"/>
    <cellStyle name="Calculation 15 2 3" xfId="2221" xr:uid="{00000000-0005-0000-0000-0000DB080000}"/>
    <cellStyle name="Calculation 15 2 3 2" xfId="1154" xr:uid="{00000000-0005-0000-0000-0000B0040000}"/>
    <cellStyle name="Calculation 15 2 4" xfId="2230" xr:uid="{00000000-0005-0000-0000-0000E4080000}"/>
    <cellStyle name="Calculation 15 2 4 2" xfId="2236" xr:uid="{00000000-0005-0000-0000-0000EA080000}"/>
    <cellStyle name="Calculation 15 2 5" xfId="2246" xr:uid="{00000000-0005-0000-0000-0000F4080000}"/>
    <cellStyle name="Calculation 15 2 6" xfId="2269" xr:uid="{00000000-0005-0000-0000-00000B090000}"/>
    <cellStyle name="Calculation 15 3" xfId="3610" xr:uid="{00000000-0005-0000-0000-0000480E0000}"/>
    <cellStyle name="Calculation 15 3 2" xfId="2467" xr:uid="{00000000-0005-0000-0000-0000D1090000}"/>
    <cellStyle name="Calculation 15 3 2 2" xfId="2474" xr:uid="{00000000-0005-0000-0000-0000D8090000}"/>
    <cellStyle name="Calculation 15 3 3" xfId="86" xr:uid="{00000000-0005-0000-0000-000060000000}"/>
    <cellStyle name="Calculation 15 3 3 2" xfId="1725" xr:uid="{00000000-0005-0000-0000-0000EB060000}"/>
    <cellStyle name="Calculation 15 3 4" xfId="2486" xr:uid="{00000000-0005-0000-0000-0000E4090000}"/>
    <cellStyle name="Calculation 15 3 4 2" xfId="2500" xr:uid="{00000000-0005-0000-0000-0000F2090000}"/>
    <cellStyle name="Calculation 15 3 5" xfId="2515" xr:uid="{00000000-0005-0000-0000-0000010A0000}"/>
    <cellStyle name="Calculation 15 3 6" xfId="1211" xr:uid="{00000000-0005-0000-0000-0000E9040000}"/>
    <cellStyle name="Calculation 15 4" xfId="3612" xr:uid="{00000000-0005-0000-0000-00004A0E0000}"/>
    <cellStyle name="Calculation 15 4 2" xfId="1031" xr:uid="{00000000-0005-0000-0000-000035040000}"/>
    <cellStyle name="Calculation 15 4 3" xfId="2655" xr:uid="{00000000-0005-0000-0000-00008D0A0000}"/>
    <cellStyle name="Calculation 15 5" xfId="3617" xr:uid="{00000000-0005-0000-0000-00004F0E0000}"/>
    <cellStyle name="Calculation 15 5 2" xfId="52" xr:uid="{00000000-0005-0000-0000-00003C000000}"/>
    <cellStyle name="Calculation 15 6" xfId="3619" xr:uid="{00000000-0005-0000-0000-0000510E0000}"/>
    <cellStyle name="Calculation 15 6 2" xfId="3621" xr:uid="{00000000-0005-0000-0000-0000530E0000}"/>
    <cellStyle name="Calculation 15 7" xfId="3624" xr:uid="{00000000-0005-0000-0000-0000560E0000}"/>
    <cellStyle name="Calculation 15 8" xfId="1543" xr:uid="{00000000-0005-0000-0000-000035060000}"/>
    <cellStyle name="Calculation 15 9" xfId="426" xr:uid="{00000000-0005-0000-0000-0000D8010000}"/>
    <cellStyle name="Calculation 16" xfId="1822" xr:uid="{00000000-0005-0000-0000-00004C070000}"/>
    <cellStyle name="Calculation 16 2" xfId="2101" xr:uid="{00000000-0005-0000-0000-000063080000}"/>
    <cellStyle name="Calculation 16 2 2" xfId="3626" xr:uid="{00000000-0005-0000-0000-0000580E0000}"/>
    <cellStyle name="Calculation 16 2 2 2" xfId="3629" xr:uid="{00000000-0005-0000-0000-00005B0E0000}"/>
    <cellStyle name="Calculation 16 2 3" xfId="3632" xr:uid="{00000000-0005-0000-0000-00005E0E0000}"/>
    <cellStyle name="Calculation 16 2 3 2" xfId="3635" xr:uid="{00000000-0005-0000-0000-0000610E0000}"/>
    <cellStyle name="Calculation 16 2 4" xfId="3637" xr:uid="{00000000-0005-0000-0000-0000630E0000}"/>
    <cellStyle name="Calculation 16 2 4 2" xfId="3641" xr:uid="{00000000-0005-0000-0000-0000670E0000}"/>
    <cellStyle name="Calculation 16 2 5" xfId="3343" xr:uid="{00000000-0005-0000-0000-00003D0D0000}"/>
    <cellStyle name="Calculation 16 2 6" xfId="1487" xr:uid="{00000000-0005-0000-0000-0000FD050000}"/>
    <cellStyle name="Calculation 16 3" xfId="3644" xr:uid="{00000000-0005-0000-0000-00006A0E0000}"/>
    <cellStyle name="Calculation 16 3 2" xfId="3653" xr:uid="{00000000-0005-0000-0000-0000730E0000}"/>
    <cellStyle name="Calculation 16 3 2 2" xfId="3665" xr:uid="{00000000-0005-0000-0000-00007F0E0000}"/>
    <cellStyle name="Calculation 16 3 3" xfId="3670" xr:uid="{00000000-0005-0000-0000-0000840E0000}"/>
    <cellStyle name="Calculation 16 3 3 2" xfId="2334" xr:uid="{00000000-0005-0000-0000-00004C090000}"/>
    <cellStyle name="Calculation 16 3 4" xfId="2356" xr:uid="{00000000-0005-0000-0000-000062090000}"/>
    <cellStyle name="Calculation 16 3 4 2" xfId="3679" xr:uid="{00000000-0005-0000-0000-00008D0E0000}"/>
    <cellStyle name="Calculation 16 3 5" xfId="3683" xr:uid="{00000000-0005-0000-0000-0000910E0000}"/>
    <cellStyle name="Calculation 16 3 6" xfId="1088" xr:uid="{00000000-0005-0000-0000-00006E040000}"/>
    <cellStyle name="Calculation 16 4" xfId="2846" xr:uid="{00000000-0005-0000-0000-00004C0B0000}"/>
    <cellStyle name="Calculation 16 4 2" xfId="3695" xr:uid="{00000000-0005-0000-0000-00009D0E0000}"/>
    <cellStyle name="Calculation 16 4 3" xfId="3703" xr:uid="{00000000-0005-0000-0000-0000A50E0000}"/>
    <cellStyle name="Calculation 16 5" xfId="3705" xr:uid="{00000000-0005-0000-0000-0000A70E0000}"/>
    <cellStyle name="Calculation 16 5 2" xfId="3707" xr:uid="{00000000-0005-0000-0000-0000A90E0000}"/>
    <cellStyle name="Calculation 16 6" xfId="3709" xr:uid="{00000000-0005-0000-0000-0000AB0E0000}"/>
    <cellStyle name="Calculation 16 6 2" xfId="3711" xr:uid="{00000000-0005-0000-0000-0000AD0E0000}"/>
    <cellStyle name="Calculation 16 7" xfId="3713" xr:uid="{00000000-0005-0000-0000-0000AF0E0000}"/>
    <cellStyle name="Calculation 16 8" xfId="3717" xr:uid="{00000000-0005-0000-0000-0000B30E0000}"/>
    <cellStyle name="Calculation 16 9" xfId="3719" xr:uid="{00000000-0005-0000-0000-0000B50E0000}"/>
    <cellStyle name="Calculation 17" xfId="3726" xr:uid="{00000000-0005-0000-0000-0000BC0E0000}"/>
    <cellStyle name="Calculation 17 2" xfId="3728" xr:uid="{00000000-0005-0000-0000-0000BE0E0000}"/>
    <cellStyle name="Calculation 17 2 2" xfId="3730" xr:uid="{00000000-0005-0000-0000-0000C00E0000}"/>
    <cellStyle name="Calculation 17 2 2 2" xfId="2509" xr:uid="{00000000-0005-0000-0000-0000FB090000}"/>
    <cellStyle name="Calculation 17 2 3" xfId="3733" xr:uid="{00000000-0005-0000-0000-0000C30E0000}"/>
    <cellStyle name="Calculation 17 2 3 2" xfId="3432" xr:uid="{00000000-0005-0000-0000-0000960D0000}"/>
    <cellStyle name="Calculation 17 2 4" xfId="3736" xr:uid="{00000000-0005-0000-0000-0000C60E0000}"/>
    <cellStyle name="Calculation 17 2 4 2" xfId="321" xr:uid="{00000000-0005-0000-0000-00006F010000}"/>
    <cellStyle name="Calculation 17 2 5" xfId="3743" xr:uid="{00000000-0005-0000-0000-0000CD0E0000}"/>
    <cellStyle name="Calculation 17 2 6" xfId="3749" xr:uid="{00000000-0005-0000-0000-0000D30E0000}"/>
    <cellStyle name="Calculation 17 3" xfId="3754" xr:uid="{00000000-0005-0000-0000-0000D80E0000}"/>
    <cellStyle name="Calculation 17 3 2" xfId="3756" xr:uid="{00000000-0005-0000-0000-0000DA0E0000}"/>
    <cellStyle name="Calculation 17 3 2 2" xfId="3757" xr:uid="{00000000-0005-0000-0000-0000DB0E0000}"/>
    <cellStyle name="Calculation 17 3 3" xfId="3758" xr:uid="{00000000-0005-0000-0000-0000DC0E0000}"/>
    <cellStyle name="Calculation 17 3 3 2" xfId="2543" xr:uid="{00000000-0005-0000-0000-00001D0A0000}"/>
    <cellStyle name="Calculation 17 3 4" xfId="3759" xr:uid="{00000000-0005-0000-0000-0000DD0E0000}"/>
    <cellStyle name="Calculation 17 3 4 2" xfId="3763" xr:uid="{00000000-0005-0000-0000-0000E10E0000}"/>
    <cellStyle name="Calculation 17 3 5" xfId="3764" xr:uid="{00000000-0005-0000-0000-0000E20E0000}"/>
    <cellStyle name="Calculation 17 3 6" xfId="990" xr:uid="{00000000-0005-0000-0000-00000C040000}"/>
    <cellStyle name="Calculation 17 4" xfId="2855" xr:uid="{00000000-0005-0000-0000-0000550B0000}"/>
    <cellStyle name="Calculation 17 4 2" xfId="3767" xr:uid="{00000000-0005-0000-0000-0000E50E0000}"/>
    <cellStyle name="Calculation 17 4 3" xfId="3769" xr:uid="{00000000-0005-0000-0000-0000E70E0000}"/>
    <cellStyle name="Calculation 17 5" xfId="3772" xr:uid="{00000000-0005-0000-0000-0000EA0E0000}"/>
    <cellStyle name="Calculation 17 5 2" xfId="882" xr:uid="{00000000-0005-0000-0000-0000A0030000}"/>
    <cellStyle name="Calculation 17 6" xfId="3777" xr:uid="{00000000-0005-0000-0000-0000EF0E0000}"/>
    <cellStyle name="Calculation 17 6 2" xfId="1586" xr:uid="{00000000-0005-0000-0000-000060060000}"/>
    <cellStyle name="Calculation 17 7" xfId="1028" xr:uid="{00000000-0005-0000-0000-000032040000}"/>
    <cellStyle name="Calculation 17 8" xfId="3778" xr:uid="{00000000-0005-0000-0000-0000F00E0000}"/>
    <cellStyle name="Calculation 17 9" xfId="3780" xr:uid="{00000000-0005-0000-0000-0000F20E0000}"/>
    <cellStyle name="Calculation 18" xfId="3788" xr:uid="{00000000-0005-0000-0000-0000FA0E0000}"/>
    <cellStyle name="Calculation 18 2" xfId="3790" xr:uid="{00000000-0005-0000-0000-0000FC0E0000}"/>
    <cellStyle name="Calculation 18 2 2" xfId="3793" xr:uid="{00000000-0005-0000-0000-0000FF0E0000}"/>
    <cellStyle name="Calculation 18 2 2 2" xfId="3797" xr:uid="{00000000-0005-0000-0000-0000030F0000}"/>
    <cellStyle name="Calculation 18 2 3" xfId="3803" xr:uid="{00000000-0005-0000-0000-0000090F0000}"/>
    <cellStyle name="Calculation 18 2 3 2" xfId="3807" xr:uid="{00000000-0005-0000-0000-00000D0F0000}"/>
    <cellStyle name="Calculation 18 2 4" xfId="3489" xr:uid="{00000000-0005-0000-0000-0000CF0D0000}"/>
    <cellStyle name="Calculation 18 2 4 2" xfId="3810" xr:uid="{00000000-0005-0000-0000-0000100F0000}"/>
    <cellStyle name="Calculation 18 2 5" xfId="1658" xr:uid="{00000000-0005-0000-0000-0000A8060000}"/>
    <cellStyle name="Calculation 18 2 6" xfId="2586" xr:uid="{00000000-0005-0000-0000-0000480A0000}"/>
    <cellStyle name="Calculation 18 3" xfId="3817" xr:uid="{00000000-0005-0000-0000-0000170F0000}"/>
    <cellStyle name="Calculation 18 3 2" xfId="3820" xr:uid="{00000000-0005-0000-0000-00001A0F0000}"/>
    <cellStyle name="Calculation 18 3 2 2" xfId="3823" xr:uid="{00000000-0005-0000-0000-00001D0F0000}"/>
    <cellStyle name="Calculation 18 3 3" xfId="3825" xr:uid="{00000000-0005-0000-0000-00001F0F0000}"/>
    <cellStyle name="Calculation 18 3 3 2" xfId="2716" xr:uid="{00000000-0005-0000-0000-0000CA0A0000}"/>
    <cellStyle name="Calculation 18 3 4" xfId="3829" xr:uid="{00000000-0005-0000-0000-0000230F0000}"/>
    <cellStyle name="Calculation 18 3 4 2" xfId="3834" xr:uid="{00000000-0005-0000-0000-0000280F0000}"/>
    <cellStyle name="Calculation 18 3 5" xfId="3837" xr:uid="{00000000-0005-0000-0000-00002B0F0000}"/>
    <cellStyle name="Calculation 18 3 6" xfId="2596" xr:uid="{00000000-0005-0000-0000-0000520A0000}"/>
    <cellStyle name="Calculation 18 4" xfId="1202" xr:uid="{00000000-0005-0000-0000-0000E0040000}"/>
    <cellStyle name="Calculation 18 4 2" xfId="3840" xr:uid="{00000000-0005-0000-0000-00002E0F0000}"/>
    <cellStyle name="Calculation 18 4 3" xfId="3844" xr:uid="{00000000-0005-0000-0000-0000320F0000}"/>
    <cellStyle name="Calculation 18 5" xfId="3850" xr:uid="{00000000-0005-0000-0000-0000380F0000}"/>
    <cellStyle name="Calculation 18 5 2" xfId="3853" xr:uid="{00000000-0005-0000-0000-00003B0F0000}"/>
    <cellStyle name="Calculation 18 6" xfId="3859" xr:uid="{00000000-0005-0000-0000-0000410F0000}"/>
    <cellStyle name="Calculation 18 6 2" xfId="3861" xr:uid="{00000000-0005-0000-0000-0000430F0000}"/>
    <cellStyle name="Calculation 18 7" xfId="3863" xr:uid="{00000000-0005-0000-0000-0000450F0000}"/>
    <cellStyle name="Calculation 18 8" xfId="3867" xr:uid="{00000000-0005-0000-0000-0000490F0000}"/>
    <cellStyle name="Calculation 18 9" xfId="3869" xr:uid="{00000000-0005-0000-0000-00004B0F0000}"/>
    <cellStyle name="Calculation 19" xfId="3872" xr:uid="{00000000-0005-0000-0000-00004E0F0000}"/>
    <cellStyle name="Calculation 19 2" xfId="3874" xr:uid="{00000000-0005-0000-0000-0000500F0000}"/>
    <cellStyle name="Calculation 19 2 2" xfId="3876" xr:uid="{00000000-0005-0000-0000-0000520F0000}"/>
    <cellStyle name="Calculation 19 2 2 2" xfId="3878" xr:uid="{00000000-0005-0000-0000-0000540F0000}"/>
    <cellStyle name="Calculation 19 2 3" xfId="3881" xr:uid="{00000000-0005-0000-0000-0000570F0000}"/>
    <cellStyle name="Calculation 19 2 3 2" xfId="3883" xr:uid="{00000000-0005-0000-0000-0000590F0000}"/>
    <cellStyle name="Calculation 19 2 4" xfId="3506" xr:uid="{00000000-0005-0000-0000-0000E00D0000}"/>
    <cellStyle name="Calculation 19 2 4 2" xfId="3884" xr:uid="{00000000-0005-0000-0000-00005A0F0000}"/>
    <cellStyle name="Calculation 19 2 5" xfId="3887" xr:uid="{00000000-0005-0000-0000-00005D0F0000}"/>
    <cellStyle name="Calculation 19 2 6" xfId="700" xr:uid="{00000000-0005-0000-0000-0000EA020000}"/>
    <cellStyle name="Calculation 19 3" xfId="3891" xr:uid="{00000000-0005-0000-0000-0000610F0000}"/>
    <cellStyle name="Calculation 19 3 2" xfId="3893" xr:uid="{00000000-0005-0000-0000-0000630F0000}"/>
    <cellStyle name="Calculation 19 3 2 2" xfId="3895" xr:uid="{00000000-0005-0000-0000-0000650F0000}"/>
    <cellStyle name="Calculation 19 3 3" xfId="3896" xr:uid="{00000000-0005-0000-0000-0000660F0000}"/>
    <cellStyle name="Calculation 19 3 3 2" xfId="2928" xr:uid="{00000000-0005-0000-0000-00009E0B0000}"/>
    <cellStyle name="Calculation 19 3 4" xfId="3898" xr:uid="{00000000-0005-0000-0000-0000680F0000}"/>
    <cellStyle name="Calculation 19 3 4 2" xfId="3901" xr:uid="{00000000-0005-0000-0000-00006B0F0000}"/>
    <cellStyle name="Calculation 19 3 5" xfId="3481" xr:uid="{00000000-0005-0000-0000-0000C70D0000}"/>
    <cellStyle name="Calculation 19 3 6" xfId="39" xr:uid="{00000000-0005-0000-0000-00002E000000}"/>
    <cellStyle name="Calculation 19 4" xfId="3902" xr:uid="{00000000-0005-0000-0000-00006C0F0000}"/>
    <cellStyle name="Calculation 19 4 2" xfId="3905" xr:uid="{00000000-0005-0000-0000-00006F0F0000}"/>
    <cellStyle name="Calculation 19 4 3" xfId="3907" xr:uid="{00000000-0005-0000-0000-0000710F0000}"/>
    <cellStyle name="Calculation 19 5" xfId="3910" xr:uid="{00000000-0005-0000-0000-0000740F0000}"/>
    <cellStyle name="Calculation 19 5 2" xfId="3914" xr:uid="{00000000-0005-0000-0000-0000780F0000}"/>
    <cellStyle name="Calculation 19 6" xfId="3915" xr:uid="{00000000-0005-0000-0000-0000790F0000}"/>
    <cellStyle name="Calculation 19 6 2" xfId="3918" xr:uid="{00000000-0005-0000-0000-00007C0F0000}"/>
    <cellStyle name="Calculation 19 7" xfId="3920" xr:uid="{00000000-0005-0000-0000-00007E0F0000}"/>
    <cellStyle name="Calculation 19 8" xfId="3924" xr:uid="{00000000-0005-0000-0000-0000820F0000}"/>
    <cellStyle name="Calculation 19 9" xfId="3926" xr:uid="{00000000-0005-0000-0000-0000840F0000}"/>
    <cellStyle name="Calculation 2" xfId="814" xr:uid="{00000000-0005-0000-0000-00005C030000}"/>
    <cellStyle name="Calculation 2 10" xfId="641" xr:uid="{00000000-0005-0000-0000-0000AF020000}"/>
    <cellStyle name="Calculation 2 10 2" xfId="654" xr:uid="{00000000-0005-0000-0000-0000BC020000}"/>
    <cellStyle name="Calculation 2 11" xfId="3930" xr:uid="{00000000-0005-0000-0000-0000880F0000}"/>
    <cellStyle name="Calculation 2 12" xfId="3935" xr:uid="{00000000-0005-0000-0000-00008D0F0000}"/>
    <cellStyle name="Calculation 2 13" xfId="3937" xr:uid="{00000000-0005-0000-0000-00008F0F0000}"/>
    <cellStyle name="Calculation 2 2" xfId="3939" xr:uid="{00000000-0005-0000-0000-0000910F0000}"/>
    <cellStyle name="Calculation 2 2 10" xfId="53" xr:uid="{00000000-0005-0000-0000-00003D000000}"/>
    <cellStyle name="Calculation 2 2 2" xfId="3941" xr:uid="{00000000-0005-0000-0000-0000930F0000}"/>
    <cellStyle name="Calculation 2 2 2 2" xfId="3943" xr:uid="{00000000-0005-0000-0000-0000950F0000}"/>
    <cellStyle name="Calculation 2 2 2 2 2" xfId="3945" xr:uid="{00000000-0005-0000-0000-0000970F0000}"/>
    <cellStyle name="Calculation 2 2 2 2 2 2" xfId="3950" xr:uid="{00000000-0005-0000-0000-00009C0F0000}"/>
    <cellStyle name="Calculation 2 2 2 2 3" xfId="2743" xr:uid="{00000000-0005-0000-0000-0000E50A0000}"/>
    <cellStyle name="Calculation 2 2 2 2 3 2" xfId="3951" xr:uid="{00000000-0005-0000-0000-00009D0F0000}"/>
    <cellStyle name="Calculation 2 2 2 2 4" xfId="1231" xr:uid="{00000000-0005-0000-0000-0000FD040000}"/>
    <cellStyle name="Calculation 2 2 2 2 4 2" xfId="1236" xr:uid="{00000000-0005-0000-0000-000002050000}"/>
    <cellStyle name="Calculation 2 2 2 2 5" xfId="1136" xr:uid="{00000000-0005-0000-0000-00009E040000}"/>
    <cellStyle name="Calculation 2 2 2 2 6" xfId="1268" xr:uid="{00000000-0005-0000-0000-000022050000}"/>
    <cellStyle name="Calculation 2 2 2 3" xfId="1416" xr:uid="{00000000-0005-0000-0000-0000B6050000}"/>
    <cellStyle name="Calculation 2 2 2 3 2" xfId="20" xr:uid="{00000000-0005-0000-0000-000018000000}"/>
    <cellStyle name="Calculation 2 2 2 3 2 2" xfId="266" xr:uid="{00000000-0005-0000-0000-00002F010000}"/>
    <cellStyle name="Calculation 2 2 2 3 3" xfId="2695" xr:uid="{00000000-0005-0000-0000-0000B50A0000}"/>
    <cellStyle name="Calculation 2 2 2 3 3 2" xfId="3952" xr:uid="{00000000-0005-0000-0000-00009E0F0000}"/>
    <cellStyle name="Calculation 2 2 2 3 4" xfId="1274" xr:uid="{00000000-0005-0000-0000-000028050000}"/>
    <cellStyle name="Calculation 2 2 2 3 4 2" xfId="440" xr:uid="{00000000-0005-0000-0000-0000E6010000}"/>
    <cellStyle name="Calculation 2 2 2 3 5" xfId="1148" xr:uid="{00000000-0005-0000-0000-0000AA040000}"/>
    <cellStyle name="Calculation 2 2 2 3 6" xfId="1297" xr:uid="{00000000-0005-0000-0000-00003F050000}"/>
    <cellStyle name="Calculation 2 2 2 4" xfId="1759" xr:uid="{00000000-0005-0000-0000-00000D070000}"/>
    <cellStyle name="Calculation 2 2 2 4 2" xfId="385" xr:uid="{00000000-0005-0000-0000-0000AF010000}"/>
    <cellStyle name="Calculation 2 2 2 5" xfId="1777" xr:uid="{00000000-0005-0000-0000-00001F070000}"/>
    <cellStyle name="Calculation 2 2 2 5 2" xfId="67" xr:uid="{00000000-0005-0000-0000-00004C000000}"/>
    <cellStyle name="Calculation 2 2 2 6" xfId="1783" xr:uid="{00000000-0005-0000-0000-000025070000}"/>
    <cellStyle name="Calculation 2 2 2 6 2" xfId="3539" xr:uid="{00000000-0005-0000-0000-0000010E0000}"/>
    <cellStyle name="Calculation 2 2 2 7" xfId="3310" xr:uid="{00000000-0005-0000-0000-00001C0D0000}"/>
    <cellStyle name="Calculation 2 2 2 8" xfId="3544" xr:uid="{00000000-0005-0000-0000-0000060E0000}"/>
    <cellStyle name="Calculation 2 2 2 9" xfId="3955" xr:uid="{00000000-0005-0000-0000-0000A10F0000}"/>
    <cellStyle name="Calculation 2 2 3" xfId="2013" xr:uid="{00000000-0005-0000-0000-00000B080000}"/>
    <cellStyle name="Calculation 2 2 3 2" xfId="2902" xr:uid="{00000000-0005-0000-0000-0000840B0000}"/>
    <cellStyle name="Calculation 2 2 3 2 2" xfId="3958" xr:uid="{00000000-0005-0000-0000-0000A40F0000}"/>
    <cellStyle name="Calculation 2 2 3 3" xfId="2907" xr:uid="{00000000-0005-0000-0000-0000890B0000}"/>
    <cellStyle name="Calculation 2 2 3 3 2" xfId="128" xr:uid="{00000000-0005-0000-0000-00008E000000}"/>
    <cellStyle name="Calculation 2 2 3 4" xfId="3555" xr:uid="{00000000-0005-0000-0000-0000110E0000}"/>
    <cellStyle name="Calculation 2 2 3 4 2" xfId="3558" xr:uid="{00000000-0005-0000-0000-0000140E0000}"/>
    <cellStyle name="Calculation 2 2 3 5" xfId="3567" xr:uid="{00000000-0005-0000-0000-00001D0E0000}"/>
    <cellStyle name="Calculation 2 2 3 6" xfId="3573" xr:uid="{00000000-0005-0000-0000-0000230E0000}"/>
    <cellStyle name="Calculation 2 2 4" xfId="2167" xr:uid="{00000000-0005-0000-0000-0000A5080000}"/>
    <cellStyle name="Calculation 2 2 4 2" xfId="1911" xr:uid="{00000000-0005-0000-0000-0000A5070000}"/>
    <cellStyle name="Calculation 2 2 4 2 2" xfId="3375" xr:uid="{00000000-0005-0000-0000-00005D0D0000}"/>
    <cellStyle name="Calculation 2 2 4 3" xfId="3965" xr:uid="{00000000-0005-0000-0000-0000AB0F0000}"/>
    <cellStyle name="Calculation 2 2 4 3 2" xfId="3476" xr:uid="{00000000-0005-0000-0000-0000C20D0000}"/>
    <cellStyle name="Calculation 2 2 4 4" xfId="3587" xr:uid="{00000000-0005-0000-0000-0000310E0000}"/>
    <cellStyle name="Calculation 2 2 4 4 2" xfId="3605" xr:uid="{00000000-0005-0000-0000-0000430E0000}"/>
    <cellStyle name="Calculation 2 2 4 5" xfId="3593" xr:uid="{00000000-0005-0000-0000-0000370E0000}"/>
    <cellStyle name="Calculation 2 2 4 6" xfId="3973" xr:uid="{00000000-0005-0000-0000-0000B30F0000}"/>
    <cellStyle name="Calculation 2 2 5" xfId="2181" xr:uid="{00000000-0005-0000-0000-0000B3080000}"/>
    <cellStyle name="Calculation 2 2 5 2" xfId="2193" xr:uid="{00000000-0005-0000-0000-0000BF080000}"/>
    <cellStyle name="Calculation 2 2 5 3" xfId="3979" xr:uid="{00000000-0005-0000-0000-0000B90F0000}"/>
    <cellStyle name="Calculation 2 2 6" xfId="2199" xr:uid="{00000000-0005-0000-0000-0000C5080000}"/>
    <cellStyle name="Calculation 2 2 6 2" xfId="117" xr:uid="{00000000-0005-0000-0000-000081000000}"/>
    <cellStyle name="Calculation 2 2 7" xfId="2211" xr:uid="{00000000-0005-0000-0000-0000D1080000}"/>
    <cellStyle name="Calculation 2 2 7 2" xfId="3986" xr:uid="{00000000-0005-0000-0000-0000C00F0000}"/>
    <cellStyle name="Calculation 2 2 8" xfId="2225" xr:uid="{00000000-0005-0000-0000-0000DF080000}"/>
    <cellStyle name="Calculation 2 2 9" xfId="2240" xr:uid="{00000000-0005-0000-0000-0000EE080000}"/>
    <cellStyle name="Calculation 2 3" xfId="3988" xr:uid="{00000000-0005-0000-0000-0000C20F0000}"/>
    <cellStyle name="Calculation 2 3 2" xfId="2290" xr:uid="{00000000-0005-0000-0000-000020090000}"/>
    <cellStyle name="Calculation 2 3 2 2" xfId="2440" xr:uid="{00000000-0005-0000-0000-0000B6090000}"/>
    <cellStyle name="Calculation 2 3 2 2 2" xfId="152" xr:uid="{00000000-0005-0000-0000-0000AA000000}"/>
    <cellStyle name="Calculation 2 3 2 3" xfId="2454" xr:uid="{00000000-0005-0000-0000-0000C4090000}"/>
    <cellStyle name="Calculation 2 3 2 3 2" xfId="2061" xr:uid="{00000000-0005-0000-0000-00003B080000}"/>
    <cellStyle name="Calculation 2 3 2 4" xfId="2469" xr:uid="{00000000-0005-0000-0000-0000D3090000}"/>
    <cellStyle name="Calculation 2 3 2 4 2" xfId="2477" xr:uid="{00000000-0005-0000-0000-0000DB090000}"/>
    <cellStyle name="Calculation 2 3 2 5" xfId="81" xr:uid="{00000000-0005-0000-0000-00005B000000}"/>
    <cellStyle name="Calculation 2 3 2 6" xfId="2491" xr:uid="{00000000-0005-0000-0000-0000E9090000}"/>
    <cellStyle name="Calculation 2 3 3" xfId="417" xr:uid="{00000000-0005-0000-0000-0000CF010000}"/>
    <cellStyle name="Calculation 2 3 3 2" xfId="378" xr:uid="{00000000-0005-0000-0000-0000A8010000}"/>
    <cellStyle name="Calculation 2 3 3 2 2" xfId="2031" xr:uid="{00000000-0005-0000-0000-00001D080000}"/>
    <cellStyle name="Calculation 2 3 3 3" xfId="2626" xr:uid="{00000000-0005-0000-0000-0000700A0000}"/>
    <cellStyle name="Calculation 2 3 3 3 2" xfId="2632" xr:uid="{00000000-0005-0000-0000-0000760A0000}"/>
    <cellStyle name="Calculation 2 3 3 4" xfId="1035" xr:uid="{00000000-0005-0000-0000-000039040000}"/>
    <cellStyle name="Calculation 2 3 3 4 2" xfId="2643" xr:uid="{00000000-0005-0000-0000-0000810A0000}"/>
    <cellStyle name="Calculation 2 3 3 5" xfId="2652" xr:uid="{00000000-0005-0000-0000-00008A0A0000}"/>
    <cellStyle name="Calculation 2 3 3 6" xfId="2665" xr:uid="{00000000-0005-0000-0000-0000970A0000}"/>
    <cellStyle name="Calculation 2 3 4" xfId="2428" xr:uid="{00000000-0005-0000-0000-0000AA090000}"/>
    <cellStyle name="Calculation 2 3 4 2" xfId="165" xr:uid="{00000000-0005-0000-0000-0000B8000000}"/>
    <cellStyle name="Calculation 2 3 4 3" xfId="113" xr:uid="{00000000-0005-0000-0000-00007D000000}"/>
    <cellStyle name="Calculation 2 3 5" xfId="2447" xr:uid="{00000000-0005-0000-0000-0000BD090000}"/>
    <cellStyle name="Calculation 2 3 5 2" xfId="2071" xr:uid="{00000000-0005-0000-0000-000045080000}"/>
    <cellStyle name="Calculation 2 3 6" xfId="2462" xr:uid="{00000000-0005-0000-0000-0000CC090000}"/>
    <cellStyle name="Calculation 2 3 6 2" xfId="3992" xr:uid="{00000000-0005-0000-0000-0000C60F0000}"/>
    <cellStyle name="Calculation 2 3 7" xfId="74" xr:uid="{00000000-0005-0000-0000-000053000000}"/>
    <cellStyle name="Calculation 2 3 8" xfId="2480" xr:uid="{00000000-0005-0000-0000-0000DE090000}"/>
    <cellStyle name="Calculation 2 3 9" xfId="2507" xr:uid="{00000000-0005-0000-0000-0000F9090000}"/>
    <cellStyle name="Calculation 2 4" xfId="3993" xr:uid="{00000000-0005-0000-0000-0000C70F0000}"/>
    <cellStyle name="Calculation 2 4 2" xfId="3995" xr:uid="{00000000-0005-0000-0000-0000C90F0000}"/>
    <cellStyle name="Calculation 2 4 2 2" xfId="4000" xr:uid="{00000000-0005-0000-0000-0000CE0F0000}"/>
    <cellStyle name="Calculation 2 4 2 2 2" xfId="4008" xr:uid="{00000000-0005-0000-0000-0000D60F0000}"/>
    <cellStyle name="Calculation 2 4 2 3" xfId="2126" xr:uid="{00000000-0005-0000-0000-00007C080000}"/>
    <cellStyle name="Calculation 2 4 2 3 2" xfId="2312" xr:uid="{00000000-0005-0000-0000-000036090000}"/>
    <cellStyle name="Calculation 2 4 2 4" xfId="3657" xr:uid="{00000000-0005-0000-0000-0000770E0000}"/>
    <cellStyle name="Calculation 2 4 2 4 2" xfId="3667" xr:uid="{00000000-0005-0000-0000-0000810E0000}"/>
    <cellStyle name="Calculation 2 4 2 5" xfId="3673" xr:uid="{00000000-0005-0000-0000-0000870E0000}"/>
    <cellStyle name="Calculation 2 4 2 6" xfId="2361" xr:uid="{00000000-0005-0000-0000-000067090000}"/>
    <cellStyle name="Calculation 2 4 3" xfId="2912" xr:uid="{00000000-0005-0000-0000-00008E0B0000}"/>
    <cellStyle name="Calculation 2 4 3 2" xfId="4017" xr:uid="{00000000-0005-0000-0000-0000DF0F0000}"/>
    <cellStyle name="Calculation 2 4 3 2 2" xfId="4023" xr:uid="{00000000-0005-0000-0000-0000E50F0000}"/>
    <cellStyle name="Calculation 2 4 3 3" xfId="2138" xr:uid="{00000000-0005-0000-0000-000088080000}"/>
    <cellStyle name="Calculation 2 4 3 3 2" xfId="1923" xr:uid="{00000000-0005-0000-0000-0000B1070000}"/>
    <cellStyle name="Calculation 2 4 3 4" xfId="3691" xr:uid="{00000000-0005-0000-0000-0000990E0000}"/>
    <cellStyle name="Calculation 2 4 3 4 2" xfId="4027" xr:uid="{00000000-0005-0000-0000-0000E90F0000}"/>
    <cellStyle name="Calculation 2 4 3 5" xfId="3699" xr:uid="{00000000-0005-0000-0000-0000A10E0000}"/>
    <cellStyle name="Calculation 2 4 3 6" xfId="2369" xr:uid="{00000000-0005-0000-0000-00006F090000}"/>
    <cellStyle name="Calculation 2 4 4" xfId="372" xr:uid="{00000000-0005-0000-0000-0000A2010000}"/>
    <cellStyle name="Calculation 2 4 4 2" xfId="2036" xr:uid="{00000000-0005-0000-0000-000022080000}"/>
    <cellStyle name="Calculation 2 4 4 3" xfId="2051" xr:uid="{00000000-0005-0000-0000-000031080000}"/>
    <cellStyle name="Calculation 2 4 5" xfId="2618" xr:uid="{00000000-0005-0000-0000-0000680A0000}"/>
    <cellStyle name="Calculation 2 4 5 2" xfId="4028" xr:uid="{00000000-0005-0000-0000-0000EA0F0000}"/>
    <cellStyle name="Calculation 2 4 6" xfId="4030" xr:uid="{00000000-0005-0000-0000-0000EC0F0000}"/>
    <cellStyle name="Calculation 2 4 6 2" xfId="4036" xr:uid="{00000000-0005-0000-0000-0000F20F0000}"/>
    <cellStyle name="Calculation 2 4 7" xfId="4037" xr:uid="{00000000-0005-0000-0000-0000F30F0000}"/>
    <cellStyle name="Calculation 2 4 8" xfId="3382" xr:uid="{00000000-0005-0000-0000-0000640D0000}"/>
    <cellStyle name="Calculation 2 4 9" xfId="3430" xr:uid="{00000000-0005-0000-0000-0000940D0000}"/>
    <cellStyle name="Calculation 2 5" xfId="4040" xr:uid="{00000000-0005-0000-0000-0000F60F0000}"/>
    <cellStyle name="Calculation 2 5 2" xfId="4042" xr:uid="{00000000-0005-0000-0000-0000F80F0000}"/>
    <cellStyle name="Calculation 2 5 2 2" xfId="944" xr:uid="{00000000-0005-0000-0000-0000DE030000}"/>
    <cellStyle name="Calculation 2 5 2 3" xfId="342" xr:uid="{00000000-0005-0000-0000-000084010000}"/>
    <cellStyle name="Calculation 2 5 3" xfId="2917" xr:uid="{00000000-0005-0000-0000-0000930B0000}"/>
    <cellStyle name="Calculation 2 5 3 2" xfId="4044" xr:uid="{00000000-0005-0000-0000-0000FA0F0000}"/>
    <cellStyle name="Calculation 2 5 4" xfId="159" xr:uid="{00000000-0005-0000-0000-0000B1000000}"/>
    <cellStyle name="Calculation 2 5 4 2" xfId="840" xr:uid="{00000000-0005-0000-0000-000076030000}"/>
    <cellStyle name="Calculation 2 5 5" xfId="108" xr:uid="{00000000-0005-0000-0000-000077000000}"/>
    <cellStyle name="Calculation 2 5 6" xfId="46" xr:uid="{00000000-0005-0000-0000-000035000000}"/>
    <cellStyle name="Calculation 2 5 7" xfId="168" xr:uid="{00000000-0005-0000-0000-0000BC000000}"/>
    <cellStyle name="Calculation 2 6" xfId="710" xr:uid="{00000000-0005-0000-0000-0000F4020000}"/>
    <cellStyle name="Calculation 2 6 2" xfId="717" xr:uid="{00000000-0005-0000-0000-0000FB020000}"/>
    <cellStyle name="Calculation 2 6 2 2" xfId="4048" xr:uid="{00000000-0005-0000-0000-0000FE0F0000}"/>
    <cellStyle name="Calculation 2 6 2 3" xfId="4051" xr:uid="{00000000-0005-0000-0000-000001100000}"/>
    <cellStyle name="Calculation 2 6 3" xfId="1015" xr:uid="{00000000-0005-0000-0000-000025040000}"/>
    <cellStyle name="Calculation 2 6 3 2" xfId="4052" xr:uid="{00000000-0005-0000-0000-000002100000}"/>
    <cellStyle name="Calculation 2 6 4" xfId="2059" xr:uid="{00000000-0005-0000-0000-000039080000}"/>
    <cellStyle name="Calculation 2 6 4 2" xfId="2075" xr:uid="{00000000-0005-0000-0000-000049080000}"/>
    <cellStyle name="Calculation 2 6 5" xfId="2922" xr:uid="{00000000-0005-0000-0000-0000980B0000}"/>
    <cellStyle name="Calculation 2 6 6" xfId="4054" xr:uid="{00000000-0005-0000-0000-000004100000}"/>
    <cellStyle name="Calculation 2 6 7" xfId="4056" xr:uid="{00000000-0005-0000-0000-000006100000}"/>
    <cellStyle name="Calculation 2 7" xfId="4058" xr:uid="{00000000-0005-0000-0000-000008100000}"/>
    <cellStyle name="Calculation 2 7 2" xfId="4061" xr:uid="{00000000-0005-0000-0000-00000B100000}"/>
    <cellStyle name="Calculation 2 7 3" xfId="204" xr:uid="{00000000-0005-0000-0000-0000E7000000}"/>
    <cellStyle name="Calculation 2 7 4" xfId="2473" xr:uid="{00000000-0005-0000-0000-0000D7090000}"/>
    <cellStyle name="Calculation 2 8" xfId="4063" xr:uid="{00000000-0005-0000-0000-00000D100000}"/>
    <cellStyle name="Calculation 2 8 2" xfId="4068" xr:uid="{00000000-0005-0000-0000-000012100000}"/>
    <cellStyle name="Calculation 2 8 4" xfId="1726" xr:uid="{00000000-0005-0000-0000-0000EC060000}"/>
    <cellStyle name="Calculation 2 9 4" xfId="2499" xr:uid="{00000000-0005-0000-0000-0000F1090000}"/>
    <cellStyle name="Calculation 20" xfId="1820" xr:uid="{00000000-0005-0000-0000-00004A070000}"/>
    <cellStyle name="Calculation 20 2" xfId="137" xr:uid="{00000000-0005-0000-0000-000099000000}"/>
    <cellStyle name="Calculation 20 2 2" xfId="2205" xr:uid="{00000000-0005-0000-0000-0000CB080000}"/>
    <cellStyle name="Calculation 20 2 2 2" xfId="122" xr:uid="{00000000-0005-0000-0000-000087000000}"/>
    <cellStyle name="Calculation 20 2 3" xfId="2220" xr:uid="{00000000-0005-0000-0000-0000DA080000}"/>
    <cellStyle name="Calculation 20 2 3 2" xfId="1155" xr:uid="{00000000-0005-0000-0000-0000B1040000}"/>
    <cellStyle name="Calculation 20 2 4" xfId="2229" xr:uid="{00000000-0005-0000-0000-0000E3080000}"/>
    <cellStyle name="Calculation 20 2 4 2" xfId="2235" xr:uid="{00000000-0005-0000-0000-0000E9080000}"/>
    <cellStyle name="Calculation 20 2 5" xfId="2245" xr:uid="{00000000-0005-0000-0000-0000F3080000}"/>
    <cellStyle name="Calculation 20 2 6" xfId="2268" xr:uid="{00000000-0005-0000-0000-00000A090000}"/>
    <cellStyle name="Calculation 20 3" xfId="3609" xr:uid="{00000000-0005-0000-0000-0000470E0000}"/>
    <cellStyle name="Calculation 20 3 2" xfId="2466" xr:uid="{00000000-0005-0000-0000-0000D0090000}"/>
    <cellStyle name="Calculation 20 3 2 2" xfId="2472" xr:uid="{00000000-0005-0000-0000-0000D6090000}"/>
    <cellStyle name="Calculation 20 3 3" xfId="87" xr:uid="{00000000-0005-0000-0000-000061000000}"/>
    <cellStyle name="Calculation 20 3 3 2" xfId="1727" xr:uid="{00000000-0005-0000-0000-0000ED060000}"/>
    <cellStyle name="Calculation 20 3 4" xfId="2485" xr:uid="{00000000-0005-0000-0000-0000E3090000}"/>
    <cellStyle name="Calculation 20 3 4 2" xfId="2498" xr:uid="{00000000-0005-0000-0000-0000F0090000}"/>
    <cellStyle name="Calculation 20 3 5" xfId="2514" xr:uid="{00000000-0005-0000-0000-0000000A0000}"/>
    <cellStyle name="Calculation 20 3 6" xfId="1212" xr:uid="{00000000-0005-0000-0000-0000EA040000}"/>
    <cellStyle name="Calculation 20 4" xfId="3611" xr:uid="{00000000-0005-0000-0000-0000490E0000}"/>
    <cellStyle name="Calculation 20 4 2" xfId="1032" xr:uid="{00000000-0005-0000-0000-000036040000}"/>
    <cellStyle name="Calculation 20 5" xfId="3616" xr:uid="{00000000-0005-0000-0000-00004E0E0000}"/>
    <cellStyle name="Calculation 20 5 2" xfId="54" xr:uid="{00000000-0005-0000-0000-00003E000000}"/>
    <cellStyle name="Calculation 20 6" xfId="3618" xr:uid="{00000000-0005-0000-0000-0000500E0000}"/>
    <cellStyle name="Calculation 20 6 2" xfId="3620" xr:uid="{00000000-0005-0000-0000-0000520E0000}"/>
    <cellStyle name="Calculation 20 7" xfId="3623" xr:uid="{00000000-0005-0000-0000-0000550E0000}"/>
    <cellStyle name="Calculation 20 8" xfId="1544" xr:uid="{00000000-0005-0000-0000-000036060000}"/>
    <cellStyle name="Calculation 20 9" xfId="427" xr:uid="{00000000-0005-0000-0000-0000D9010000}"/>
    <cellStyle name="Calculation 21" xfId="1823" xr:uid="{00000000-0005-0000-0000-00004D070000}"/>
    <cellStyle name="Calculation 21 2" xfId="2100" xr:uid="{00000000-0005-0000-0000-000062080000}"/>
    <cellStyle name="Calculation 21 2 2" xfId="3625" xr:uid="{00000000-0005-0000-0000-0000570E0000}"/>
    <cellStyle name="Calculation 21 2 2 2" xfId="3628" xr:uid="{00000000-0005-0000-0000-00005A0E0000}"/>
    <cellStyle name="Calculation 21 2 3" xfId="3631" xr:uid="{00000000-0005-0000-0000-00005D0E0000}"/>
    <cellStyle name="Calculation 21 2 3 2" xfId="3634" xr:uid="{00000000-0005-0000-0000-0000600E0000}"/>
    <cellStyle name="Calculation 21 2 4" xfId="3636" xr:uid="{00000000-0005-0000-0000-0000620E0000}"/>
    <cellStyle name="Calculation 21 2 4 2" xfId="3640" xr:uid="{00000000-0005-0000-0000-0000660E0000}"/>
    <cellStyle name="Calculation 21 2 5" xfId="3342" xr:uid="{00000000-0005-0000-0000-00003C0D0000}"/>
    <cellStyle name="Calculation 21 2 6" xfId="1488" xr:uid="{00000000-0005-0000-0000-0000FE050000}"/>
    <cellStyle name="Calculation 21 3" xfId="3643" xr:uid="{00000000-0005-0000-0000-0000690E0000}"/>
    <cellStyle name="Calculation 21 3 2" xfId="3652" xr:uid="{00000000-0005-0000-0000-0000720E0000}"/>
    <cellStyle name="Calculation 21 3 2 2" xfId="3664" xr:uid="{00000000-0005-0000-0000-00007E0E0000}"/>
    <cellStyle name="Calculation 21 3 3" xfId="3669" xr:uid="{00000000-0005-0000-0000-0000830E0000}"/>
    <cellStyle name="Calculation 21 3 3 2" xfId="2333" xr:uid="{00000000-0005-0000-0000-00004B090000}"/>
    <cellStyle name="Calculation 21 3 4" xfId="2355" xr:uid="{00000000-0005-0000-0000-000061090000}"/>
    <cellStyle name="Calculation 21 3 4 2" xfId="3678" xr:uid="{00000000-0005-0000-0000-00008C0E0000}"/>
    <cellStyle name="Calculation 21 3 5" xfId="3682" xr:uid="{00000000-0005-0000-0000-0000900E0000}"/>
    <cellStyle name="Calculation 21 3 6" xfId="1089" xr:uid="{00000000-0005-0000-0000-00006F040000}"/>
    <cellStyle name="Calculation 21 4" xfId="2845" xr:uid="{00000000-0005-0000-0000-00004B0B0000}"/>
    <cellStyle name="Calculation 21 4 2" xfId="3694" xr:uid="{00000000-0005-0000-0000-00009C0E0000}"/>
    <cellStyle name="Calculation 21 5" xfId="3704" xr:uid="{00000000-0005-0000-0000-0000A60E0000}"/>
    <cellStyle name="Calculation 21 5 2" xfId="3706" xr:uid="{00000000-0005-0000-0000-0000A80E0000}"/>
    <cellStyle name="Calculation 21 6" xfId="3708" xr:uid="{00000000-0005-0000-0000-0000AA0E0000}"/>
    <cellStyle name="Calculation 21 6 2" xfId="3710" xr:uid="{00000000-0005-0000-0000-0000AC0E0000}"/>
    <cellStyle name="Calculation 21 7" xfId="3712" xr:uid="{00000000-0005-0000-0000-0000AE0E0000}"/>
    <cellStyle name="Calculation 21 8" xfId="3716" xr:uid="{00000000-0005-0000-0000-0000B20E0000}"/>
    <cellStyle name="Calculation 22" xfId="3725" xr:uid="{00000000-0005-0000-0000-0000BB0E0000}"/>
    <cellStyle name="Calculation 22 2" xfId="3727" xr:uid="{00000000-0005-0000-0000-0000BD0E0000}"/>
    <cellStyle name="Calculation 22 2 2" xfId="3729" xr:uid="{00000000-0005-0000-0000-0000BF0E0000}"/>
    <cellStyle name="Calculation 22 3" xfId="3753" xr:uid="{00000000-0005-0000-0000-0000D70E0000}"/>
    <cellStyle name="Calculation 22 3 2" xfId="3755" xr:uid="{00000000-0005-0000-0000-0000D90E0000}"/>
    <cellStyle name="Calculation 22 4" xfId="2854" xr:uid="{00000000-0005-0000-0000-0000540B0000}"/>
    <cellStyle name="Calculation 22 4 2" xfId="3766" xr:uid="{00000000-0005-0000-0000-0000E40E0000}"/>
    <cellStyle name="Calculation 22 5" xfId="3771" xr:uid="{00000000-0005-0000-0000-0000E90E0000}"/>
    <cellStyle name="Calculation 22 6" xfId="3776" xr:uid="{00000000-0005-0000-0000-0000EE0E0000}"/>
    <cellStyle name="Calculation 23" xfId="3787" xr:uid="{00000000-0005-0000-0000-0000F90E0000}"/>
    <cellStyle name="Calculation 23 2" xfId="3789" xr:uid="{00000000-0005-0000-0000-0000FB0E0000}"/>
    <cellStyle name="Calculation 23 2 2" xfId="3792" xr:uid="{00000000-0005-0000-0000-0000FE0E0000}"/>
    <cellStyle name="Calculation 23 3" xfId="3816" xr:uid="{00000000-0005-0000-0000-0000160F0000}"/>
    <cellStyle name="Calculation 23 3 2" xfId="3819" xr:uid="{00000000-0005-0000-0000-0000190F0000}"/>
    <cellStyle name="Calculation 23 4" xfId="1203" xr:uid="{00000000-0005-0000-0000-0000E1040000}"/>
    <cellStyle name="Calculation 23 4 2" xfId="3839" xr:uid="{00000000-0005-0000-0000-00002D0F0000}"/>
    <cellStyle name="Calculation 23 5" xfId="3849" xr:uid="{00000000-0005-0000-0000-0000370F0000}"/>
    <cellStyle name="Calculation 23 6" xfId="3858" xr:uid="{00000000-0005-0000-0000-0000400F0000}"/>
    <cellStyle name="Calculation 24" xfId="3871" xr:uid="{00000000-0005-0000-0000-00004D0F0000}"/>
    <cellStyle name="Calculation 24 2" xfId="3873" xr:uid="{00000000-0005-0000-0000-00004F0F0000}"/>
    <cellStyle name="Calculation 24 3" xfId="3890" xr:uid="{00000000-0005-0000-0000-0000600F0000}"/>
    <cellStyle name="Calculation 3 2 10" xfId="3645" xr:uid="{00000000-0005-0000-0000-00006B0E0000}"/>
    <cellStyle name="Calculation 3 2 2 2 4 2" xfId="1489" xr:uid="{00000000-0005-0000-0000-0000FF050000}"/>
    <cellStyle name="Calculation 3 2 2 2 5" xfId="311" xr:uid="{00000000-0005-0000-0000-000063010000}"/>
    <cellStyle name="Calculation 3 2 2 3" xfId="359" xr:uid="{00000000-0005-0000-0000-000095010000}"/>
    <cellStyle name="Calculation 3 2 2 3 2" xfId="3082" xr:uid="{00000000-0005-0000-0000-0000380C0000}"/>
    <cellStyle name="Calculation 3 2 2 3 4 2" xfId="3748" xr:uid="{00000000-0005-0000-0000-0000D20E0000}"/>
    <cellStyle name="Calculation 3 2 2 3 5" xfId="982" xr:uid="{00000000-0005-0000-0000-000004040000}"/>
    <cellStyle name="Calculation 3 2 9" xfId="450" xr:uid="{00000000-0005-0000-0000-0000F0010000}"/>
    <cellStyle name="Calculation 3 3 2 2" xfId="257" xr:uid="{00000000-0005-0000-0000-000024010000}"/>
    <cellStyle name="Calculation 3 3 2 2 2" xfId="1169" xr:uid="{00000000-0005-0000-0000-0000BF040000}"/>
    <cellStyle name="Calculation 3 3 2 3" xfId="26" xr:uid="{00000000-0005-0000-0000-00001F000000}"/>
    <cellStyle name="Calculation 3 3 2 3 2" xfId="1431" xr:uid="{00000000-0005-0000-0000-0000C5050000}"/>
    <cellStyle name="Calculation 3 3 2 4" xfId="285" xr:uid="{00000000-0005-0000-0000-000044010000}"/>
    <cellStyle name="Calculation 3 3 2 4 2" xfId="179" xr:uid="{00000000-0005-0000-0000-0000CA000000}"/>
    <cellStyle name="Calculation 3 3 2 5" xfId="290" xr:uid="{00000000-0005-0000-0000-00004B010000}"/>
    <cellStyle name="Calculation 3 3 2 6" xfId="314" xr:uid="{00000000-0005-0000-0000-000066010000}"/>
    <cellStyle name="Calculation 3 3 3 2 2" xfId="3773" xr:uid="{00000000-0005-0000-0000-0000EB0E0000}"/>
    <cellStyle name="Calculation 3 3 3 3 2" xfId="3847" xr:uid="{00000000-0005-0000-0000-0000350F0000}"/>
    <cellStyle name="Calculation 3 3 3 4 2" xfId="3909" xr:uid="{00000000-0005-0000-0000-0000730F0000}"/>
    <cellStyle name="Calculation 3 3 4 2" xfId="2561" xr:uid="{00000000-0005-0000-0000-00002F0A0000}"/>
    <cellStyle name="Calculation 3 3 4 3" xfId="2569" xr:uid="{00000000-0005-0000-0000-0000370A0000}"/>
    <cellStyle name="Calculation 3 4 4 2" xfId="3987" xr:uid="{00000000-0005-0000-0000-0000C10F0000}"/>
    <cellStyle name="Calculation 3 5 4" xfId="2029" xr:uid="{00000000-0005-0000-0000-00001B080000}"/>
    <cellStyle name="Calculation 3 5 4 2" xfId="4069" xr:uid="{00000000-0005-0000-0000-000013100000}"/>
    <cellStyle name="Calculation 3 6 4" xfId="2641" xr:uid="{00000000-0005-0000-0000-00007F0A0000}"/>
    <cellStyle name="Calculation 3 7 4" xfId="2648" xr:uid="{00000000-0005-0000-0000-0000860A0000}"/>
    <cellStyle name="Calculation 3 8 4" xfId="2657" xr:uid="{00000000-0005-0000-0000-00008F0A0000}"/>
    <cellStyle name="Calculation 4 2 2 2 3 2" xfId="2582" xr:uid="{00000000-0005-0000-0000-0000440A0000}"/>
    <cellStyle name="Calculation 4 2 2 2 4 2" xfId="697" xr:uid="{00000000-0005-0000-0000-0000E7020000}"/>
    <cellStyle name="Calculation 4 2 2 3" xfId="235" xr:uid="{00000000-0005-0000-0000-00000A010000}"/>
    <cellStyle name="Calculation 4 2 2 3 3 2" xfId="709" xr:uid="{00000000-0005-0000-0000-0000F3020000}"/>
    <cellStyle name="Calculation 4 2 2 4" xfId="194" xr:uid="{00000000-0005-0000-0000-0000DB000000}"/>
    <cellStyle name="Calculation 4 2 2 5" xfId="262" xr:uid="{00000000-0005-0000-0000-00002A010000}"/>
    <cellStyle name="Calculation 4 2 2 6" xfId="272" xr:uid="{00000000-0005-0000-0000-000035010000}"/>
    <cellStyle name="Calculation 4 2 2 6 2" xfId="1008" xr:uid="{00000000-0005-0000-0000-00001E040000}"/>
    <cellStyle name="Calculation 4 2 2 7" xfId="288" xr:uid="{00000000-0005-0000-0000-000048010000}"/>
    <cellStyle name="Calculation 4 2 2 8" xfId="304" xr:uid="{00000000-0005-0000-0000-00005B010000}"/>
    <cellStyle name="Calculation 4 2 3 2" xfId="1874" xr:uid="{00000000-0005-0000-0000-000080070000}"/>
    <cellStyle name="Calculation 4 2 3 2 2" xfId="1772" xr:uid="{00000000-0005-0000-0000-00001A070000}"/>
    <cellStyle name="Calculation 4 2 3 3" xfId="1883" xr:uid="{00000000-0005-0000-0000-000089070000}"/>
    <cellStyle name="Calculation 4 2 3 3 2" xfId="1885" xr:uid="{00000000-0005-0000-0000-00008B070000}"/>
    <cellStyle name="Calculation 4 2 3 4" xfId="547" xr:uid="{00000000-0005-0000-0000-000051020000}"/>
    <cellStyle name="Calculation 4 2 3 4 2" xfId="558" xr:uid="{00000000-0005-0000-0000-00005C020000}"/>
    <cellStyle name="Calculation 4 2 4 2" xfId="2001" xr:uid="{00000000-0005-0000-0000-0000FF070000}"/>
    <cellStyle name="Calculation 4 2 4 2 2" xfId="2010" xr:uid="{00000000-0005-0000-0000-000008080000}"/>
    <cellStyle name="Calculation 4 2 4 3" xfId="465" xr:uid="{00000000-0005-0000-0000-0000FF010000}"/>
    <cellStyle name="Calculation 4 2 4 3 2" xfId="2020" xr:uid="{00000000-0005-0000-0000-000012080000}"/>
    <cellStyle name="Calculation 4 2 4 4" xfId="404" xr:uid="{00000000-0005-0000-0000-0000C2010000}"/>
    <cellStyle name="Calculation 4 2 4 4 2" xfId="419" xr:uid="{00000000-0005-0000-0000-0000D1010000}"/>
    <cellStyle name="Calculation 4 2 4 5" xfId="2794" xr:uid="{00000000-0005-0000-0000-0000180B0000}"/>
    <cellStyle name="Calculation 4 2 4 6" xfId="2801" xr:uid="{00000000-0005-0000-0000-00001F0B0000}"/>
    <cellStyle name="Calculation 4 2 5 2" xfId="2242" xr:uid="{00000000-0005-0000-0000-0000F0080000}"/>
    <cellStyle name="Calculation 4 2 5 3" xfId="2264" xr:uid="{00000000-0005-0000-0000-000006090000}"/>
    <cellStyle name="Calculation 4 2 6 2" xfId="2511" xr:uid="{00000000-0005-0000-0000-0000FD090000}"/>
    <cellStyle name="Calculation 4 2 7 2" xfId="2674" xr:uid="{00000000-0005-0000-0000-0000A00A0000}"/>
    <cellStyle name="Calculation 4 3 5 2" xfId="3345" xr:uid="{00000000-0005-0000-0000-00003F0D0000}"/>
    <cellStyle name="Calculation 4 3 6 2" xfId="3685" xr:uid="{00000000-0005-0000-0000-0000930E0000}"/>
    <cellStyle name="Calculation 4 5 4" xfId="846" xr:uid="{00000000-0005-0000-0000-00007C030000}"/>
    <cellStyle name="Calculation 4 5 5" xfId="856" xr:uid="{00000000-0005-0000-0000-000086030000}"/>
    <cellStyle name="Calculation 4 5 6" xfId="884" xr:uid="{00000000-0005-0000-0000-0000A2030000}"/>
    <cellStyle name="Calculation 4 5 7" xfId="901" xr:uid="{00000000-0005-0000-0000-0000B3030000}"/>
    <cellStyle name="Calculation 4 6 3" xfId="2774" xr:uid="{00000000-0005-0000-0000-0000040B0000}"/>
    <cellStyle name="Calculation 4 6 4" xfId="1256" xr:uid="{00000000-0005-0000-0000-000016050000}"/>
    <cellStyle name="Calculation 4 7 4" xfId="1303" xr:uid="{00000000-0005-0000-0000-000045050000}"/>
    <cellStyle name="Calculation 4 8 4" xfId="1327" xr:uid="{00000000-0005-0000-0000-00005D050000}"/>
    <cellStyle name="Calculation 5" xfId="3012" xr:uid="{00000000-0005-0000-0000-0000F20B0000}"/>
    <cellStyle name="Calculation 5 10 2" xfId="1782" xr:uid="{00000000-0005-0000-0000-000024070000}"/>
    <cellStyle name="Calculation 5 2 2 2 2" xfId="2828" xr:uid="{00000000-0005-0000-0000-00003A0B0000}"/>
    <cellStyle name="Calculation 5 2 2 2 3" xfId="2836" xr:uid="{00000000-0005-0000-0000-0000420B0000}"/>
    <cellStyle name="Calculation 5 2 2 3" xfId="907" xr:uid="{00000000-0005-0000-0000-0000B9030000}"/>
    <cellStyle name="Calculation 5 2 2 3 2" xfId="3349" xr:uid="{00000000-0005-0000-0000-0000430D0000}"/>
    <cellStyle name="Calculation 5 2 2 3 3" xfId="3352" xr:uid="{00000000-0005-0000-0000-0000460D0000}"/>
    <cellStyle name="Calculation 5 2 2 7" xfId="2523" xr:uid="{00000000-0005-0000-0000-0000090A0000}"/>
    <cellStyle name="Calculation 5 2 3 2" xfId="511" xr:uid="{00000000-0005-0000-0000-00002D020000}"/>
    <cellStyle name="Calculation 5 2 3 2 2" xfId="2410" xr:uid="{00000000-0005-0000-0000-000098090000}"/>
    <cellStyle name="Calculation 5 2 4 2 2" xfId="3579" xr:uid="{00000000-0005-0000-0000-0000290E0000}"/>
    <cellStyle name="Calculation 5 2 4 4 2" xfId="8" xr:uid="{00000000-0005-0000-0000-00000B000000}"/>
    <cellStyle name="Calculation 5 2 5 2" xfId="673" xr:uid="{00000000-0005-0000-0000-0000CF020000}"/>
    <cellStyle name="Calculation 5 2 6" xfId="3216" xr:uid="{00000000-0005-0000-0000-0000BE0C0000}"/>
    <cellStyle name="Calculation 5 2 7" xfId="2417" xr:uid="{00000000-0005-0000-0000-00009F090000}"/>
    <cellStyle name="Calculation 5 2 9" xfId="1670" xr:uid="{00000000-0005-0000-0000-0000B4060000}"/>
    <cellStyle name="Calculation 5 3 2 2 2" xfId="396" xr:uid="{00000000-0005-0000-0000-0000BA010000}"/>
    <cellStyle name="Calculation 5 3 5 2" xfId="1243" xr:uid="{00000000-0005-0000-0000-000009050000}"/>
    <cellStyle name="Calculation 5 3 6" xfId="3226" xr:uid="{00000000-0005-0000-0000-0000C80C0000}"/>
    <cellStyle name="Calculation 5 3 7" xfId="2425" xr:uid="{00000000-0005-0000-0000-0000A7090000}"/>
    <cellStyle name="Calculation 5 4 3 2" xfId="279" xr:uid="{00000000-0005-0000-0000-00003D010000}"/>
    <cellStyle name="Calculation 5 4 4" xfId="965" xr:uid="{00000000-0005-0000-0000-0000F3030000}"/>
    <cellStyle name="Calculation 5 5 2 2" xfId="2025" xr:uid="{00000000-0005-0000-0000-000017080000}"/>
    <cellStyle name="Calculation 5 5 2 3" xfId="2294" xr:uid="{00000000-0005-0000-0000-000024090000}"/>
    <cellStyle name="Calculation 5 7 2" xfId="1375" xr:uid="{00000000-0005-0000-0000-00008D050000}"/>
    <cellStyle name="Calculation 5 7 3" xfId="1841" xr:uid="{00000000-0005-0000-0000-00005F070000}"/>
    <cellStyle name="Calculation 5 7 4" xfId="1852" xr:uid="{00000000-0005-0000-0000-00006A070000}"/>
    <cellStyle name="Calculation 5 8 2" xfId="1971" xr:uid="{00000000-0005-0000-0000-0000E1070000}"/>
    <cellStyle name="Calculation 5 8 3" xfId="1985" xr:uid="{00000000-0005-0000-0000-0000EF070000}"/>
    <cellStyle name="Calculation 5 8 4" xfId="795" xr:uid="{00000000-0005-0000-0000-000049030000}"/>
    <cellStyle name="Calculation 5 9 2" xfId="2170" xr:uid="{00000000-0005-0000-0000-0000A8080000}"/>
    <cellStyle name="Calculation 6 10" xfId="3509" xr:uid="{00000000-0005-0000-0000-0000E30D0000}"/>
    <cellStyle name="Calculation 6 11" xfId="3514" xr:uid="{00000000-0005-0000-0000-0000E80D0000}"/>
    <cellStyle name="Calculation 6 12" xfId="242" xr:uid="{00000000-0005-0000-0000-000013010000}"/>
    <cellStyle name="Calculation 6 2 2" xfId="2909" xr:uid="{00000000-0005-0000-0000-00008B0B0000}"/>
    <cellStyle name="Calculation 6 2 2 2" xfId="127" xr:uid="{00000000-0005-0000-0000-00008C000000}"/>
    <cellStyle name="Calculation 6 2 2 2 2" xfId="1356" xr:uid="{00000000-0005-0000-0000-00007A050000}"/>
    <cellStyle name="Calculation 6 2 2 2 2 2" xfId="895" xr:uid="{00000000-0005-0000-0000-0000AD030000}"/>
    <cellStyle name="Calculation 6 2 2 2 3" xfId="1057" xr:uid="{00000000-0005-0000-0000-00004F040000}"/>
    <cellStyle name="Calculation 6 2 2 2 3 2" xfId="1065" xr:uid="{00000000-0005-0000-0000-000057040000}"/>
    <cellStyle name="Calculation 6 2 2 3" xfId="1563" xr:uid="{00000000-0005-0000-0000-000049060000}"/>
    <cellStyle name="Calculation 6 2 3" xfId="3554" xr:uid="{00000000-0005-0000-0000-0000100E0000}"/>
    <cellStyle name="Calculation 6 2 3 2" xfId="3559" xr:uid="{00000000-0005-0000-0000-0000150E0000}"/>
    <cellStyle name="Calculation 6 2 4" xfId="3566" xr:uid="{00000000-0005-0000-0000-00001C0E0000}"/>
    <cellStyle name="Calculation 6 2 4 4 2" xfId="1915" xr:uid="{00000000-0005-0000-0000-0000A9070000}"/>
    <cellStyle name="Calculation 6 2 5" xfId="3570" xr:uid="{00000000-0005-0000-0000-0000200E0000}"/>
    <cellStyle name="Calculation 6 2 5 3" xfId="408" xr:uid="{00000000-0005-0000-0000-0000C6010000}"/>
    <cellStyle name="Calculation 6 2 6" xfId="3321" xr:uid="{00000000-0005-0000-0000-0000270D0000}"/>
    <cellStyle name="Calculation 6 2 9" xfId="787" xr:uid="{00000000-0005-0000-0000-000041030000}"/>
    <cellStyle name="Calculation 6 3 2" xfId="3962" xr:uid="{00000000-0005-0000-0000-0000A80F0000}"/>
    <cellStyle name="Calculation 6 3 2 2" xfId="3478" xr:uid="{00000000-0005-0000-0000-0000C40D0000}"/>
    <cellStyle name="Calculation 6 3 2 4 2" xfId="2177" xr:uid="{00000000-0005-0000-0000-0000AF080000}"/>
    <cellStyle name="Calculation 6 3 3" xfId="3585" xr:uid="{00000000-0005-0000-0000-00002F0E0000}"/>
    <cellStyle name="Calculation 6 3 3 2" xfId="3607" xr:uid="{00000000-0005-0000-0000-0000450E0000}"/>
    <cellStyle name="Calculation 6 3 4" xfId="3591" xr:uid="{00000000-0005-0000-0000-0000350E0000}"/>
    <cellStyle name="Calculation 6 3 4 2" xfId="424" xr:uid="{00000000-0005-0000-0000-0000D6010000}"/>
    <cellStyle name="Calculation 6 3 5" xfId="3968" xr:uid="{00000000-0005-0000-0000-0000AE0F0000}"/>
    <cellStyle name="Calculation 6 3 5 2" xfId="3721" xr:uid="{00000000-0005-0000-0000-0000B70E0000}"/>
    <cellStyle name="Calculation 6 3 6 2" xfId="3782" xr:uid="{00000000-0005-0000-0000-0000F40E0000}"/>
    <cellStyle name="Calculation 6 4 2" xfId="3983" xr:uid="{00000000-0005-0000-0000-0000BD0F0000}"/>
    <cellStyle name="Calculation 6 4 3 2" xfId="1058" xr:uid="{00000000-0005-0000-0000-000050040000}"/>
    <cellStyle name="Calculation 6 5" xfId="1075" xr:uid="{00000000-0005-0000-0000-000061040000}"/>
    <cellStyle name="Calculation 6 5 2" xfId="1164" xr:uid="{00000000-0005-0000-0000-0000BA040000}"/>
    <cellStyle name="Calculation 6 5 2 2" xfId="1166" xr:uid="{00000000-0005-0000-0000-0000BC040000}"/>
    <cellStyle name="Calculation 6 6" xfId="1174" xr:uid="{00000000-0005-0000-0000-0000C4040000}"/>
    <cellStyle name="Calculation 6 6 2" xfId="1179" xr:uid="{00000000-0005-0000-0000-0000C9040000}"/>
    <cellStyle name="Calculation 6 7 2" xfId="2994" xr:uid="{00000000-0005-0000-0000-0000E00B0000}"/>
    <cellStyle name="Calculation 6 7 3" xfId="3006" xr:uid="{00000000-0005-0000-0000-0000EC0B0000}"/>
    <cellStyle name="Calculation 6 7 4" xfId="3017" xr:uid="{00000000-0005-0000-0000-0000F70B0000}"/>
    <cellStyle name="Calculation 6 8 2" xfId="1766" xr:uid="{00000000-0005-0000-0000-000014070000}"/>
    <cellStyle name="Calculation 6 8 3" xfId="2113" xr:uid="{00000000-0005-0000-0000-00006F080000}"/>
    <cellStyle name="Calculation 6 8 4" xfId="2092" xr:uid="{00000000-0005-0000-0000-00005A080000}"/>
    <cellStyle name="Calculation 6 9 2" xfId="3061" xr:uid="{00000000-0005-0000-0000-0000230C0000}"/>
    <cellStyle name="Calculation 7" xfId="778" xr:uid="{00000000-0005-0000-0000-000038030000}"/>
    <cellStyle name="Calculation 7 10" xfId="2964" xr:uid="{00000000-0005-0000-0000-0000C20B0000}"/>
    <cellStyle name="Calculation 7 10 2" xfId="2968" xr:uid="{00000000-0005-0000-0000-0000C60B0000}"/>
    <cellStyle name="Calculation 7 11" xfId="2976" xr:uid="{00000000-0005-0000-0000-0000CE0B0000}"/>
    <cellStyle name="Calculation 7 12" xfId="2987" xr:uid="{00000000-0005-0000-0000-0000D90B0000}"/>
    <cellStyle name="Calculation 7 13" xfId="2330" xr:uid="{00000000-0005-0000-0000-000048090000}"/>
    <cellStyle name="Calculation 7 2 2" xfId="2624" xr:uid="{00000000-0005-0000-0000-00006E0A0000}"/>
    <cellStyle name="Calculation 7 2 2 2" xfId="2638" xr:uid="{00000000-0005-0000-0000-00007C0A0000}"/>
    <cellStyle name="Calculation 7 2 2 2 5" xfId="2874" xr:uid="{00000000-0005-0000-0000-0000680B0000}"/>
    <cellStyle name="Calculation 7 2 2 3" xfId="608" xr:uid="{00000000-0005-0000-0000-00008E020000}"/>
    <cellStyle name="Calculation 7 2 2 3 5" xfId="2881" xr:uid="{00000000-0005-0000-0000-00006F0B0000}"/>
    <cellStyle name="Calculation 7 2 2 4 2" xfId="2391" xr:uid="{00000000-0005-0000-0000-000085090000}"/>
    <cellStyle name="Calculation 7 2 3" xfId="1036" xr:uid="{00000000-0005-0000-0000-00003A040000}"/>
    <cellStyle name="Calculation 7 2 3 2" xfId="2645" xr:uid="{00000000-0005-0000-0000-0000830A0000}"/>
    <cellStyle name="Calculation 7 2 3 3" xfId="2162" xr:uid="{00000000-0005-0000-0000-0000A0080000}"/>
    <cellStyle name="Calculation 7 2 4" xfId="2651" xr:uid="{00000000-0005-0000-0000-0000890A0000}"/>
    <cellStyle name="Calculation 7 2 4 3" xfId="1447" xr:uid="{00000000-0005-0000-0000-0000D5050000}"/>
    <cellStyle name="Calculation 7 2 5" xfId="2662" xr:uid="{00000000-0005-0000-0000-0000940A0000}"/>
    <cellStyle name="Calculation 7 2 5 3" xfId="251" xr:uid="{00000000-0005-0000-0000-00001D010000}"/>
    <cellStyle name="Calculation 7 2 9" xfId="1699" xr:uid="{00000000-0005-0000-0000-0000D1060000}"/>
    <cellStyle name="Calculation 7 3" xfId="2544" xr:uid="{00000000-0005-0000-0000-00001E0A0000}"/>
    <cellStyle name="Calculation 7 3 2" xfId="115" xr:uid="{00000000-0005-0000-0000-00007F000000}"/>
    <cellStyle name="Calculation 7 3 2 2" xfId="1260" xr:uid="{00000000-0005-0000-0000-00001A050000}"/>
    <cellStyle name="Calculation 7 3 2 3" xfId="3368" xr:uid="{00000000-0005-0000-0000-0000560D0000}"/>
    <cellStyle name="Calculation 7 3 2 4 2" xfId="3484" xr:uid="{00000000-0005-0000-0000-0000CA0D0000}"/>
    <cellStyle name="Calculation 7 4" xfId="2548" xr:uid="{00000000-0005-0000-0000-0000220A0000}"/>
    <cellStyle name="Calculation 7 5" xfId="758" xr:uid="{00000000-0005-0000-0000-000024030000}"/>
    <cellStyle name="Calculation 7 6" xfId="3178" xr:uid="{00000000-0005-0000-0000-0000980C0000}"/>
    <cellStyle name="Calculation 7 7 2" xfId="3162" xr:uid="{00000000-0005-0000-0000-0000880C0000}"/>
    <cellStyle name="Calculation 7 7 3" xfId="176" xr:uid="{00000000-0005-0000-0000-0000C7000000}"/>
    <cellStyle name="Calculation 7 7 4" xfId="357" xr:uid="{00000000-0005-0000-0000-000093010000}"/>
    <cellStyle name="Calculation 7 8 2" xfId="3254" xr:uid="{00000000-0005-0000-0000-0000E40C0000}"/>
    <cellStyle name="Calculation 7 8 3" xfId="3273" xr:uid="{00000000-0005-0000-0000-0000F70C0000}"/>
    <cellStyle name="Calculation 7 8 4" xfId="3294" xr:uid="{00000000-0005-0000-0000-00000C0D0000}"/>
    <cellStyle name="Calculation 7 9" xfId="2079" xr:uid="{00000000-0005-0000-0000-00004D080000}"/>
    <cellStyle name="Calculation 7 9 2" xfId="2818" xr:uid="{00000000-0005-0000-0000-0000300B0000}"/>
    <cellStyle name="Calculation 8 2" xfId="2087" xr:uid="{00000000-0005-0000-0000-000055080000}"/>
    <cellStyle name="Calculation 8 2 2" xfId="2142" xr:uid="{00000000-0005-0000-0000-00008C080000}"/>
    <cellStyle name="Calculation 8 2 2 2" xfId="1925" xr:uid="{00000000-0005-0000-0000-0000B3070000}"/>
    <cellStyle name="Calculation 8 2 2 2 2" xfId="1929" xr:uid="{00000000-0005-0000-0000-0000B7070000}"/>
    <cellStyle name="Calculation 8 2 2 2 3" xfId="828" xr:uid="{00000000-0005-0000-0000-00006A030000}"/>
    <cellStyle name="Calculation 8 2 2 2 3 2" xfId="2301" xr:uid="{00000000-0005-0000-0000-00002B090000}"/>
    <cellStyle name="Calculation 8 2 2 2 4" xfId="3999" xr:uid="{00000000-0005-0000-0000-0000CD0F0000}"/>
    <cellStyle name="Calculation 8 2 2 2 4 2" xfId="4007" xr:uid="{00000000-0005-0000-0000-0000D50F0000}"/>
    <cellStyle name="Calculation 8 2 2 2 5" xfId="2125" xr:uid="{00000000-0005-0000-0000-00007B080000}"/>
    <cellStyle name="Calculation 8 2 2 2 6" xfId="3656" xr:uid="{00000000-0005-0000-0000-0000760E0000}"/>
    <cellStyle name="Calculation 8 2 2 3" xfId="1935" xr:uid="{00000000-0005-0000-0000-0000BD070000}"/>
    <cellStyle name="Calculation 8 2 2 3 2" xfId="1940" xr:uid="{00000000-0005-0000-0000-0000C2070000}"/>
    <cellStyle name="Calculation 8 2 2 3 4" xfId="4016" xr:uid="{00000000-0005-0000-0000-0000DE0F0000}"/>
    <cellStyle name="Calculation 8 2 2 3 4 2" xfId="4022" xr:uid="{00000000-0005-0000-0000-0000E40F0000}"/>
    <cellStyle name="Calculation 8 2 2 3 5" xfId="2137" xr:uid="{00000000-0005-0000-0000-000087080000}"/>
    <cellStyle name="Calculation 8 2 2 3 6" xfId="3690" xr:uid="{00000000-0005-0000-0000-0000980E0000}"/>
    <cellStyle name="Calculation 8 2 2 4" xfId="1944" xr:uid="{00000000-0005-0000-0000-0000C6070000}"/>
    <cellStyle name="Calculation 8 2 2 4 2" xfId="1950" xr:uid="{00000000-0005-0000-0000-0000CC070000}"/>
    <cellStyle name="Calculation 8 2 2 5" xfId="1952" xr:uid="{00000000-0005-0000-0000-0000CE070000}"/>
    <cellStyle name="Calculation 8 2 2 5 2" xfId="1956" xr:uid="{00000000-0005-0000-0000-0000D2070000}"/>
    <cellStyle name="Calculation 8 2 2 6" xfId="1962" xr:uid="{00000000-0005-0000-0000-0000D8070000}"/>
    <cellStyle name="Calculation 8 2 2 6 2" xfId="1967" xr:uid="{00000000-0005-0000-0000-0000DD070000}"/>
    <cellStyle name="Calculation 8 2 2 7" xfId="41" xr:uid="{00000000-0005-0000-0000-000030000000}"/>
    <cellStyle name="Calculation 8 2 3" xfId="3688" xr:uid="{00000000-0005-0000-0000-0000960E0000}"/>
    <cellStyle name="Calculation 8 2 3 2" xfId="4025" xr:uid="{00000000-0005-0000-0000-0000E70F0000}"/>
    <cellStyle name="Calculation 8 2 3 4 2" xfId="644" xr:uid="{00000000-0005-0000-0000-0000B2020000}"/>
    <cellStyle name="Calculation 8 2 4" xfId="3696" xr:uid="{00000000-0005-0000-0000-00009E0E0000}"/>
    <cellStyle name="Calculation 8 2 4 6" xfId="1372" xr:uid="{00000000-0005-0000-0000-00008A050000}"/>
    <cellStyle name="Calculation 8 2 5" xfId="2366" xr:uid="{00000000-0005-0000-0000-00006C090000}"/>
    <cellStyle name="Calculation 8 2 5 3" xfId="1613" xr:uid="{00000000-0005-0000-0000-00007B060000}"/>
    <cellStyle name="Calculation 8 2 7 2" xfId="2152" xr:uid="{00000000-0005-0000-0000-000096080000}"/>
    <cellStyle name="Calculation 8 2 9" xfId="1500" xr:uid="{00000000-0005-0000-0000-00000A060000}"/>
    <cellStyle name="Calculation 8 3" xfId="2148" xr:uid="{00000000-0005-0000-0000-000092080000}"/>
    <cellStyle name="Calculation 8 3 2" xfId="2052" xr:uid="{00000000-0005-0000-0000-000032080000}"/>
    <cellStyle name="Calculation 8 3 9" xfId="918" xr:uid="{00000000-0005-0000-0000-0000C4030000}"/>
    <cellStyle name="Calculation 8 4" xfId="594" xr:uid="{00000000-0005-0000-0000-000080020000}"/>
    <cellStyle name="Calculation 8 5" xfId="2154" xr:uid="{00000000-0005-0000-0000-000098080000}"/>
    <cellStyle name="Calculation 8 6" xfId="187" xr:uid="{00000000-0005-0000-0000-0000D3000000}"/>
    <cellStyle name="Calculation 8 7 2" xfId="3400" xr:uid="{00000000-0005-0000-0000-0000760D0000}"/>
    <cellStyle name="Calculation 8 7 3" xfId="3425" xr:uid="{00000000-0005-0000-0000-00008F0D0000}"/>
    <cellStyle name="Calculation 8 7 4" xfId="3172" xr:uid="{00000000-0005-0000-0000-0000920C0000}"/>
    <cellStyle name="Calculation 8 8 2" xfId="3439" xr:uid="{00000000-0005-0000-0000-00009D0D0000}"/>
    <cellStyle name="Calculation 8 8 3" xfId="3444" xr:uid="{00000000-0005-0000-0000-0000A20D0000}"/>
    <cellStyle name="Calculation 8 8 4" xfId="3189" xr:uid="{00000000-0005-0000-0000-0000A30C0000}"/>
    <cellStyle name="Calculation 8 9" xfId="578" xr:uid="{00000000-0005-0000-0000-000070020000}"/>
    <cellStyle name="Calculation 8 9 2" xfId="585" xr:uid="{00000000-0005-0000-0000-000077020000}"/>
    <cellStyle name="Calculation 9 10" xfId="1734" xr:uid="{00000000-0005-0000-0000-0000F4060000}"/>
    <cellStyle name="Calculation 9 2" xfId="3028" xr:uid="{00000000-0005-0000-0000-0000020C0000}"/>
    <cellStyle name="Calculation 9 2 2" xfId="2866" xr:uid="{00000000-0005-0000-0000-0000600B0000}"/>
    <cellStyle name="Calculation 9 2 2 2 2 2" xfId="2459" xr:uid="{00000000-0005-0000-0000-0000C9090000}"/>
    <cellStyle name="Calculation 9 2 2 2 4" xfId="2931" xr:uid="{00000000-0005-0000-0000-0000A10B0000}"/>
    <cellStyle name="Calculation 9 2 2 2 4 2" xfId="48" xr:uid="{00000000-0005-0000-0000-000038000000}"/>
    <cellStyle name="Calculation 9 2 2 2 5" xfId="2937" xr:uid="{00000000-0005-0000-0000-0000A70B0000}"/>
    <cellStyle name="Calculation 9 2 2 2 6" xfId="2941" xr:uid="{00000000-0005-0000-0000-0000AB0B0000}"/>
    <cellStyle name="Calculation 9 2 2 3" xfId="3115" xr:uid="{00000000-0005-0000-0000-0000590C0000}"/>
    <cellStyle name="Calculation 9 2 2 3 2" xfId="3120" xr:uid="{00000000-0005-0000-0000-00005E0C0000}"/>
    <cellStyle name="Calculation 9 2 2 3 2 2" xfId="3089" xr:uid="{00000000-0005-0000-0000-00003F0C0000}"/>
    <cellStyle name="Calculation 9 2 2 3 5" xfId="3235" xr:uid="{00000000-0005-0000-0000-0000D10C0000}"/>
    <cellStyle name="Calculation 9 2 2 4" xfId="3129" xr:uid="{00000000-0005-0000-0000-0000670C0000}"/>
    <cellStyle name="Calculation 9 2 2 5" xfId="1403" xr:uid="{00000000-0005-0000-0000-0000A9050000}"/>
    <cellStyle name="Calculation 9 2 2 6" xfId="3137" xr:uid="{00000000-0005-0000-0000-00006F0C0000}"/>
    <cellStyle name="Calculation 9 2 3 3 2" xfId="3152" xr:uid="{00000000-0005-0000-0000-00007E0C0000}"/>
    <cellStyle name="Calculation 9 2 3 4 2" xfId="3167" xr:uid="{00000000-0005-0000-0000-00008D0C0000}"/>
    <cellStyle name="Calculation 9 2 4 3 2" xfId="3242" xr:uid="{00000000-0005-0000-0000-0000D80C0000}"/>
    <cellStyle name="Calculation 9 2 4 4 2" xfId="3263" xr:uid="{00000000-0005-0000-0000-0000ED0C0000}"/>
    <cellStyle name="Calculation 9 2 5 2" xfId="905" xr:uid="{00000000-0005-0000-0000-0000B7030000}"/>
    <cellStyle name="Calculation 9 2 5 3" xfId="2707" xr:uid="{00000000-0005-0000-0000-0000C10A0000}"/>
    <cellStyle name="Calculation 9 2 9" xfId="1746" xr:uid="{00000000-0005-0000-0000-000000070000}"/>
    <cellStyle name="Calculation 9 3" xfId="3030" xr:uid="{00000000-0005-0000-0000-0000040C0000}"/>
    <cellStyle name="Calculation 9 3 2" xfId="870" xr:uid="{00000000-0005-0000-0000-000094030000}"/>
    <cellStyle name="Calculation 9 3 2 2" xfId="1671" xr:uid="{00000000-0005-0000-0000-0000B5060000}"/>
    <cellStyle name="Calculation 9 3 2 2 2" xfId="1674" xr:uid="{00000000-0005-0000-0000-0000B8060000}"/>
    <cellStyle name="Calculation 9 3 3" xfId="879" xr:uid="{00000000-0005-0000-0000-00009D030000}"/>
    <cellStyle name="Calculation 9 3 3 3 2" xfId="3393" xr:uid="{00000000-0005-0000-0000-00006F0D0000}"/>
    <cellStyle name="Calculation 9 3 3 4 2" xfId="3416" xr:uid="{00000000-0005-0000-0000-0000860D0000}"/>
    <cellStyle name="Calculation 9 3 3 5" xfId="380" xr:uid="{00000000-0005-0000-0000-0000AA010000}"/>
    <cellStyle name="Calculation 9 3 9" xfId="3517" xr:uid="{00000000-0005-0000-0000-0000EB0D0000}"/>
    <cellStyle name="Calculation 9 4" xfId="3034" xr:uid="{00000000-0005-0000-0000-0000080C0000}"/>
    <cellStyle name="Calculation 9 4 2" xfId="98" xr:uid="{00000000-0005-0000-0000-00006C000000}"/>
    <cellStyle name="Calculation 9 4 2 2" xfId="786" xr:uid="{00000000-0005-0000-0000-000040030000}"/>
    <cellStyle name="Calculation 9 4 3" xfId="1591" xr:uid="{00000000-0005-0000-0000-000065060000}"/>
    <cellStyle name="Calculation 9 5" xfId="3039" xr:uid="{00000000-0005-0000-0000-00000D0C0000}"/>
    <cellStyle name="Calculation 9 5 2" xfId="453" xr:uid="{00000000-0005-0000-0000-0000F3010000}"/>
    <cellStyle name="Calculation 9 5 2 2" xfId="1700" xr:uid="{00000000-0005-0000-0000-0000D2060000}"/>
    <cellStyle name="Calculation 9 5 3" xfId="1715" xr:uid="{00000000-0005-0000-0000-0000E1060000}"/>
    <cellStyle name="Calculation 9 6" xfId="1476" xr:uid="{00000000-0005-0000-0000-0000F2050000}"/>
    <cellStyle name="Calculation 9 6 2" xfId="1494" xr:uid="{00000000-0005-0000-0000-000004060000}"/>
    <cellStyle name="Calculation 9 6 3" xfId="1509" xr:uid="{00000000-0005-0000-0000-000013060000}"/>
    <cellStyle name="Calculation 9 7 2" xfId="1520" xr:uid="{00000000-0005-0000-0000-00001E060000}"/>
    <cellStyle name="Calculation 9 7 3" xfId="1753" xr:uid="{00000000-0005-0000-0000-000007070000}"/>
    <cellStyle name="Calculation 9 7 4" xfId="3279" xr:uid="{00000000-0005-0000-0000-0000FD0C0000}"/>
    <cellStyle name="Calculation 9 8 2" xfId="1780" xr:uid="{00000000-0005-0000-0000-000022070000}"/>
    <cellStyle name="Calculation 9 8 3" xfId="1787" xr:uid="{00000000-0005-0000-0000-000029070000}"/>
    <cellStyle name="Calculation 9 8 4" xfId="3302" xr:uid="{00000000-0005-0000-0000-0000140D0000}"/>
    <cellStyle name="Calculation 9 9 2" xfId="3564" xr:uid="{00000000-0005-0000-0000-00001A0E0000}"/>
    <cellStyle name="ColLevel_0" xfId="2780" xr:uid="{00000000-0005-0000-0000-00000A0B0000}"/>
    <cellStyle name="Comma" xfId="2208" xr:uid="{00000000-0005-0000-0000-0000CE080000}"/>
    <cellStyle name="Comma [0] 3" xfId="68" xr:uid="{00000000-0005-0000-0000-00004D000000}"/>
    <cellStyle name="Comma [0] 3 2" xfId="1021" xr:uid="{00000000-0005-0000-0000-00002B040000}"/>
    <cellStyle name="Comma [0] 3 2 2" xfId="1711" xr:uid="{00000000-0005-0000-0000-0000DD060000}"/>
    <cellStyle name="Comma [0] 3 3" xfId="1366" xr:uid="{00000000-0005-0000-0000-000084050000}"/>
    <cellStyle name="Comma [0] 3 3 2" xfId="1511" xr:uid="{00000000-0005-0000-0000-000015060000}"/>
    <cellStyle name="Comma [0] 3 4" xfId="4070" xr:uid="{00000000-0005-0000-0000-000014100000}"/>
    <cellStyle name="Comma 10" xfId="4071" xr:uid="{00000000-0005-0000-0000-000015100000}"/>
    <cellStyle name="Comma 10 3" xfId="2044" xr:uid="{00000000-0005-0000-0000-00002A080000}"/>
    <cellStyle name="Comma 10 3 2" xfId="3513" xr:uid="{00000000-0005-0000-0000-0000E70D0000}"/>
    <cellStyle name="Comma 11" xfId="4072" xr:uid="{00000000-0005-0000-0000-000016100000}"/>
    <cellStyle name="Comma 12" xfId="4073" xr:uid="{00000000-0005-0000-0000-000017100000}"/>
    <cellStyle name="Comma 13" xfId="1735" xr:uid="{00000000-0005-0000-0000-0000F5060000}"/>
    <cellStyle name="Comma 14" xfId="4074" xr:uid="{00000000-0005-0000-0000-000018100000}"/>
    <cellStyle name="Comma 15" xfId="4075" xr:uid="{00000000-0005-0000-0000-000019100000}"/>
    <cellStyle name="Comma 16" xfId="4076" xr:uid="{00000000-0005-0000-0000-00001A100000}"/>
    <cellStyle name="Comma 2" xfId="123" xr:uid="{00000000-0005-0000-0000-000088000000}"/>
    <cellStyle name="Comma 2 2" xfId="3496" xr:uid="{00000000-0005-0000-0000-0000D60D0000}"/>
    <cellStyle name="Comma 2 2 2" xfId="3828" xr:uid="{00000000-0005-0000-0000-0000220F0000}"/>
    <cellStyle name="Comma 2 2 2 2" xfId="3833" xr:uid="{00000000-0005-0000-0000-0000270F0000}"/>
    <cellStyle name="Comma 2 2 3" xfId="3836" xr:uid="{00000000-0005-0000-0000-00002A0F0000}"/>
    <cellStyle name="Comma 2 2 3 2" xfId="43" xr:uid="{00000000-0005-0000-0000-000032000000}"/>
    <cellStyle name="Comma 27" xfId="1022" xr:uid="{00000000-0005-0000-0000-00002C040000}"/>
    <cellStyle name="Comma 27 2" xfId="1712" xr:uid="{00000000-0005-0000-0000-0000DE060000}"/>
    <cellStyle name="Comma 28" xfId="1367" xr:uid="{00000000-0005-0000-0000-000085050000}"/>
    <cellStyle name="Comma 28 2" xfId="1512" xr:uid="{00000000-0005-0000-0000-000016060000}"/>
    <cellStyle name="Comma 3" xfId="4077" xr:uid="{00000000-0005-0000-0000-00001B100000}"/>
    <cellStyle name="Comma 3 2 2" xfId="3897" xr:uid="{00000000-0005-0000-0000-0000670F0000}"/>
    <cellStyle name="Comma 3 2 2 2" xfId="3900" xr:uid="{00000000-0005-0000-0000-00006A0F0000}"/>
    <cellStyle name="Comma 3 2 3" xfId="3480" xr:uid="{00000000-0005-0000-0000-0000C60D0000}"/>
    <cellStyle name="Comma 3 2 3 2" xfId="4078" xr:uid="{00000000-0005-0000-0000-00001C100000}"/>
    <cellStyle name="Comma 3 4" xfId="245" xr:uid="{00000000-0005-0000-0000-000016010000}"/>
    <cellStyle name="Comma 3 4 2" xfId="1359" xr:uid="{00000000-0005-0000-0000-00007D050000}"/>
    <cellStyle name="Comma 4" xfId="4079" xr:uid="{00000000-0005-0000-0000-00001D100000}"/>
    <cellStyle name="Comma 5" xfId="4080" xr:uid="{00000000-0005-0000-0000-00001E100000}"/>
    <cellStyle name="Comma 5 2" xfId="2554" xr:uid="{00000000-0005-0000-0000-0000280A0000}"/>
    <cellStyle name="Comma 5 2 2" xfId="1339" xr:uid="{00000000-0005-0000-0000-000069050000}"/>
    <cellStyle name="Comma 5 3" xfId="2559" xr:uid="{00000000-0005-0000-0000-00002D0A0000}"/>
    <cellStyle name="Comma 5 3 2" xfId="516" xr:uid="{00000000-0005-0000-0000-000032020000}"/>
    <cellStyle name="Comma 6" xfId="4081" xr:uid="{00000000-0005-0000-0000-00001F100000}"/>
    <cellStyle name="Comma 7" xfId="3913" xr:uid="{00000000-0005-0000-0000-0000770F0000}"/>
    <cellStyle name="Comma 7 2" xfId="2948" xr:uid="{00000000-0005-0000-0000-0000B20B0000}"/>
    <cellStyle name="Comma 8" xfId="2841" xr:uid="{00000000-0005-0000-0000-0000470B0000}"/>
    <cellStyle name="Comma 8 2" xfId="2962" xr:uid="{00000000-0005-0000-0000-0000C00B0000}"/>
    <cellStyle name="Comma 9" xfId="1360" xr:uid="{00000000-0005-0000-0000-00007E050000}"/>
    <cellStyle name="Comma 9 2" xfId="1362" xr:uid="{00000000-0005-0000-0000-000080050000}"/>
    <cellStyle name="Comma 9 2 2" xfId="729" xr:uid="{00000000-0005-0000-0000-000007030000}"/>
    <cellStyle name="Comma 9 3" xfId="1364" xr:uid="{00000000-0005-0000-0000-000082050000}"/>
    <cellStyle name="Comma 9 3 2" xfId="1369" xr:uid="{00000000-0005-0000-0000-000087050000}"/>
    <cellStyle name="Comma 9 4" xfId="4082" xr:uid="{00000000-0005-0000-0000-000020100000}"/>
    <cellStyle name="Currency 2" xfId="3801" xr:uid="{00000000-0005-0000-0000-0000070F0000}"/>
    <cellStyle name="Currency 2 2" xfId="3806" xr:uid="{00000000-0005-0000-0000-00000C0F0000}"/>
    <cellStyle name="Dollar (zero dec) 2" xfId="3358" xr:uid="{00000000-0005-0000-0000-00004C0D0000}"/>
    <cellStyle name="Fixed" xfId="2568" xr:uid="{00000000-0005-0000-0000-0000360A0000}"/>
    <cellStyle name="Fixed 2" xfId="2578" xr:uid="{00000000-0005-0000-0000-0000400A0000}"/>
    <cellStyle name="Good" xfId="3698" xr:uid="{00000000-0005-0000-0000-0000A00E0000}"/>
    <cellStyle name="Good 2 2 2" xfId="391" xr:uid="{00000000-0005-0000-0000-0000B5010000}"/>
    <cellStyle name="Header1 3" xfId="2967" xr:uid="{00000000-0005-0000-0000-0000C50B0000}"/>
    <cellStyle name="Header2 10" xfId="1899" xr:uid="{00000000-0005-0000-0000-000099070000}"/>
    <cellStyle name="Header2 11" xfId="3449" xr:uid="{00000000-0005-0000-0000-0000A70D0000}"/>
    <cellStyle name="Header2 14" xfId="2322" xr:uid="{00000000-0005-0000-0000-000040090000}"/>
    <cellStyle name="Header2 2 2 10 2" xfId="2214" xr:uid="{00000000-0005-0000-0000-0000D4080000}"/>
    <cellStyle name="Header2 2 2 11 2" xfId="76" xr:uid="{00000000-0005-0000-0000-000056000000}"/>
    <cellStyle name="Header2 2 2 2 2 3" xfId="1479" xr:uid="{00000000-0005-0000-0000-0000F5050000}"/>
    <cellStyle name="Header2 2 2 2 2 5" xfId="1323" xr:uid="{00000000-0005-0000-0000-000059050000}"/>
    <cellStyle name="Header2 2 2 3 3" xfId="1182" xr:uid="{00000000-0005-0000-0000-0000CC040000}"/>
    <cellStyle name="Header2 2 2 3 3 2" xfId="1185" xr:uid="{00000000-0005-0000-0000-0000CF040000}"/>
    <cellStyle name="Header2 2 2 4 3" xfId="893" xr:uid="{00000000-0005-0000-0000-0000AB030000}"/>
    <cellStyle name="Header2 2 2 6" xfId="448" xr:uid="{00000000-0005-0000-0000-0000EE010000}"/>
    <cellStyle name="Header2 2 2 6 2" xfId="460" xr:uid="{00000000-0005-0000-0000-0000FA010000}"/>
    <cellStyle name="Header2 2 2 6 3" xfId="1707" xr:uid="{00000000-0005-0000-0000-0000D9060000}"/>
    <cellStyle name="Header2 2 2 6 4" xfId="1091" xr:uid="{00000000-0005-0000-0000-000071040000}"/>
    <cellStyle name="Header2 2 3 2 5" xfId="696" xr:uid="{00000000-0005-0000-0000-0000E6020000}"/>
    <cellStyle name="Header2 2 3 6 2" xfId="2740" xr:uid="{00000000-0005-0000-0000-0000E20A0000}"/>
    <cellStyle name="Header2 2 4 6" xfId="2539" xr:uid="{00000000-0005-0000-0000-0000190A0000}"/>
    <cellStyle name="Header2 2 6 4" xfId="476" xr:uid="{00000000-0005-0000-0000-00000A020000}"/>
    <cellStyle name="Header2 2 6 4 2" xfId="682" xr:uid="{00000000-0005-0000-0000-0000D8020000}"/>
    <cellStyle name="Header2 2 8 3" xfId="749" xr:uid="{00000000-0005-0000-0000-00001B030000}"/>
    <cellStyle name="Header2 3" xfId="2980" xr:uid="{00000000-0005-0000-0000-0000D20B0000}"/>
    <cellStyle name="Header2 3 10" xfId="3654" xr:uid="{00000000-0005-0000-0000-0000740E0000}"/>
    <cellStyle name="Header2 3 10 2" xfId="3663" xr:uid="{00000000-0005-0000-0000-00007D0E0000}"/>
    <cellStyle name="Header2 3 11" xfId="3671" xr:uid="{00000000-0005-0000-0000-0000850E0000}"/>
    <cellStyle name="Header2 3 11 2" xfId="2332" xr:uid="{00000000-0005-0000-0000-00004A090000}"/>
    <cellStyle name="Header2 3 12" xfId="2353" xr:uid="{00000000-0005-0000-0000-00005F090000}"/>
    <cellStyle name="Header2 3 2 2 2" xfId="2244" xr:uid="{00000000-0005-0000-0000-0000F2080000}"/>
    <cellStyle name="Header2 3 2 2 2 2" xfId="2258" xr:uid="{00000000-0005-0000-0000-000000090000}"/>
    <cellStyle name="Header2 3 2 2 3" xfId="2267" xr:uid="{00000000-0005-0000-0000-000009090000}"/>
    <cellStyle name="Header2 3 2 2 3 2" xfId="2277" xr:uid="{00000000-0005-0000-0000-000013090000}"/>
    <cellStyle name="Header2 3 2 2 4" xfId="2282" xr:uid="{00000000-0005-0000-0000-000018090000}"/>
    <cellStyle name="Header2 3 2 2 4 2" xfId="827" xr:uid="{00000000-0005-0000-0000-000069030000}"/>
    <cellStyle name="Header2 3 2 3 2" xfId="2513" xr:uid="{00000000-0005-0000-0000-0000FF090000}"/>
    <cellStyle name="Header2 3 2 4 2" xfId="2672" xr:uid="{00000000-0005-0000-0000-00009E0A0000}"/>
    <cellStyle name="Header2 3 2 5 2" xfId="324" xr:uid="{00000000-0005-0000-0000-000072010000}"/>
    <cellStyle name="Header2 3 2 5 2 2" xfId="1755" xr:uid="{00000000-0005-0000-0000-000009070000}"/>
    <cellStyle name="Header2 3 2 7" xfId="3112" xr:uid="{00000000-0005-0000-0000-0000560C0000}"/>
    <cellStyle name="Header2 3 3 2 2" xfId="3341" xr:uid="{00000000-0005-0000-0000-00003B0D0000}"/>
    <cellStyle name="Header2 3 3 3 2" xfId="3681" xr:uid="{00000000-0005-0000-0000-00008F0E0000}"/>
    <cellStyle name="Header2 3 5 2" xfId="860" xr:uid="{00000000-0005-0000-0000-00008A030000}"/>
    <cellStyle name="Header2 3 5 3" xfId="887" xr:uid="{00000000-0005-0000-0000-0000A5030000}"/>
    <cellStyle name="Header2 4" xfId="3879" xr:uid="{00000000-0005-0000-0000-0000550F0000}"/>
    <cellStyle name="Header2 4 2 2 2" xfId="671" xr:uid="{00000000-0005-0000-0000-0000CD020000}"/>
    <cellStyle name="Header2 4 2 3" xfId="3215" xr:uid="{00000000-0005-0000-0000-0000BD0C0000}"/>
    <cellStyle name="Header2 4 2 4" xfId="2416" xr:uid="{00000000-0005-0000-0000-00009E090000}"/>
    <cellStyle name="Header2 4 2 6" xfId="1665" xr:uid="{00000000-0005-0000-0000-0000AF060000}"/>
    <cellStyle name="Header2 4 3 3" xfId="3225" xr:uid="{00000000-0005-0000-0000-0000C70C0000}"/>
    <cellStyle name="Header2 5 2 2" xfId="3572" xr:uid="{00000000-0005-0000-0000-0000220E0000}"/>
    <cellStyle name="Header2 5 3 2" xfId="3972" xr:uid="{00000000-0005-0000-0000-0000B20F0000}"/>
    <cellStyle name="Header2 5 6" xfId="1041" xr:uid="{00000000-0005-0000-0000-00003F040000}"/>
    <cellStyle name="Header2 6 2 2" xfId="2664" xr:uid="{00000000-0005-0000-0000-0000960A0000}"/>
    <cellStyle name="Header2 7 2 2" xfId="2368" xr:uid="{00000000-0005-0000-0000-00006E090000}"/>
    <cellStyle name="Header2 9 2" xfId="3500" xr:uid="{00000000-0005-0000-0000-0000DA0D0000}"/>
    <cellStyle name="Header2 9 3" xfId="1452" xr:uid="{00000000-0005-0000-0000-0000DA050000}"/>
    <cellStyle name="Header2 9 3 2" xfId="1460" xr:uid="{00000000-0005-0000-0000-0000E2050000}"/>
    <cellStyle name="Header2 9 4" xfId="739" xr:uid="{00000000-0005-0000-0000-000011030000}"/>
    <cellStyle name="Header2 9 4 2" xfId="237" xr:uid="{00000000-0005-0000-0000-00000D010000}"/>
    <cellStyle name="Heading 1" xfId="2732" xr:uid="{00000000-0005-0000-0000-0000DA0A0000}"/>
    <cellStyle name="Heading 2" xfId="637" xr:uid="{00000000-0005-0000-0000-0000AB020000}"/>
    <cellStyle name="Heading 2 2" xfId="656" xr:uid="{00000000-0005-0000-0000-0000BE020000}"/>
    <cellStyle name="Heading 3" xfId="3928" xr:uid="{00000000-0005-0000-0000-0000860F0000}"/>
    <cellStyle name="Heading 3 2" xfId="318" xr:uid="{00000000-0005-0000-0000-00006B010000}"/>
    <cellStyle name="Heading 3 2 2" xfId="1084" xr:uid="{00000000-0005-0000-0000-00006A040000}"/>
    <cellStyle name="Heading 3 3" xfId="3796" xr:uid="{00000000-0005-0000-0000-0000020F0000}"/>
    <cellStyle name="Heading 3 4" xfId="486" xr:uid="{00000000-0005-0000-0000-000014020000}"/>
    <cellStyle name="Heading 4" xfId="3933" xr:uid="{00000000-0005-0000-0000-00008B0F0000}"/>
    <cellStyle name="HEADING1" xfId="1693" xr:uid="{00000000-0005-0000-0000-0000CB060000}"/>
    <cellStyle name="HEADING1 2" xfId="2950" xr:uid="{00000000-0005-0000-0000-0000B40B0000}"/>
    <cellStyle name="HEADING2 2" xfId="2973" xr:uid="{00000000-0005-0000-0000-0000CB0B0000}"/>
    <cellStyle name="Input [yellow] 10 2 2 2" xfId="1801" xr:uid="{00000000-0005-0000-0000-000037070000}"/>
    <cellStyle name="Input [yellow] 10 2 2 2 2" xfId="1805" xr:uid="{00000000-0005-0000-0000-00003B070000}"/>
    <cellStyle name="Input [yellow] 10 2 2 2 3" xfId="2261" xr:uid="{00000000-0005-0000-0000-000003090000}"/>
    <cellStyle name="Input [yellow] 10 2 2 2 4" xfId="1769" xr:uid="{00000000-0005-0000-0000-000017070000}"/>
    <cellStyle name="Input [yellow] 10 2 2 3" xfId="1817" xr:uid="{00000000-0005-0000-0000-000047070000}"/>
    <cellStyle name="Input [yellow] 10 2 2 3 2" xfId="431" xr:uid="{00000000-0005-0000-0000-0000DD010000}"/>
    <cellStyle name="Input [yellow] 10 2 2 4" xfId="1924" xr:uid="{00000000-0005-0000-0000-0000B2070000}"/>
    <cellStyle name="Input [yellow] 10 2 2 5" xfId="1934" xr:uid="{00000000-0005-0000-0000-0000BC070000}"/>
    <cellStyle name="Input [yellow] 10 2 3 4" xfId="4026" xr:uid="{00000000-0005-0000-0000-0000E80F0000}"/>
    <cellStyle name="Input [yellow] 10 2 6" xfId="1811" xr:uid="{00000000-0005-0000-0000-000041070000}"/>
    <cellStyle name="Input [yellow] 10 3" xfId="3433" xr:uid="{00000000-0005-0000-0000-0000970D0000}"/>
    <cellStyle name="Input [yellow] 10 3 2" xfId="3436" xr:uid="{00000000-0005-0000-0000-00009A0D0000}"/>
    <cellStyle name="Input [yellow] 10 3 2 2 2" xfId="1299" xr:uid="{00000000-0005-0000-0000-000041050000}"/>
    <cellStyle name="Input [yellow] 10 3 2 3 2" xfId="1331" xr:uid="{00000000-0005-0000-0000-000061050000}"/>
    <cellStyle name="Input [yellow] 10 4" xfId="3441" xr:uid="{00000000-0005-0000-0000-00009F0D0000}"/>
    <cellStyle name="Input [yellow] 10 4 2" xfId="821" xr:uid="{00000000-0005-0000-0000-000063030000}"/>
    <cellStyle name="Input [yellow] 10 4 5" xfId="731" xr:uid="{00000000-0005-0000-0000-000009030000}"/>
    <cellStyle name="Input [yellow] 10 5" xfId="3445" xr:uid="{00000000-0005-0000-0000-0000A30D0000}"/>
    <cellStyle name="Input [yellow] 10 5 2" xfId="1191" xr:uid="{00000000-0005-0000-0000-0000D5040000}"/>
    <cellStyle name="Input [yellow] 10 6" xfId="3192" xr:uid="{00000000-0005-0000-0000-0000A60C0000}"/>
    <cellStyle name="Input [yellow] 10 7" xfId="1904" xr:uid="{00000000-0005-0000-0000-00009E070000}"/>
    <cellStyle name="Input [yellow] 10 8" xfId="3450" xr:uid="{00000000-0005-0000-0000-0000A80D0000}"/>
    <cellStyle name="Input [yellow] 11 2" xfId="2877" xr:uid="{00000000-0005-0000-0000-00006B0B0000}"/>
    <cellStyle name="Input [yellow] 11 2 2" xfId="2880" xr:uid="{00000000-0005-0000-0000-00006E0B0000}"/>
    <cellStyle name="Input [yellow] 11 2 2 2 2" xfId="2671" xr:uid="{00000000-0005-0000-0000-00009D0A0000}"/>
    <cellStyle name="Input [yellow] 11 2 2 2 2 2" xfId="2676" xr:uid="{00000000-0005-0000-0000-0000A20A0000}"/>
    <cellStyle name="Input [yellow] 11 2 2 2 2 3" xfId="1315" xr:uid="{00000000-0005-0000-0000-000051050000}"/>
    <cellStyle name="Input [yellow] 11 2 2 2 2 4" xfId="4083" xr:uid="{00000000-0005-0000-0000-000021100000}"/>
    <cellStyle name="Input [yellow] 11 2 2 2 3" xfId="1224" xr:uid="{00000000-0005-0000-0000-0000F6040000}"/>
    <cellStyle name="Input [yellow] 11 2 2 2 3 2" xfId="2683" xr:uid="{00000000-0005-0000-0000-0000A90A0000}"/>
    <cellStyle name="Input [yellow] 11 2 2 2 4" xfId="2685" xr:uid="{00000000-0005-0000-0000-0000AB0A0000}"/>
    <cellStyle name="Input [yellow] 11 2 2 3 2" xfId="325" xr:uid="{00000000-0005-0000-0000-000073010000}"/>
    <cellStyle name="Input [yellow] 11 2 2 5" xfId="3111" xr:uid="{00000000-0005-0000-0000-0000550C0000}"/>
    <cellStyle name="Input [yellow] 11 3" xfId="2680" xr:uid="{00000000-0005-0000-0000-0000A60A0000}"/>
    <cellStyle name="Input [yellow] 11 3 2" xfId="501" xr:uid="{00000000-0005-0000-0000-000023020000}"/>
    <cellStyle name="Input [yellow] 11 3 2 2" xfId="2415" xr:uid="{00000000-0005-0000-0000-00009D090000}"/>
    <cellStyle name="Input [yellow] 11 3 2 4" xfId="1666" xr:uid="{00000000-0005-0000-0000-0000B0060000}"/>
    <cellStyle name="Input [yellow] 11 3 3" xfId="2421" xr:uid="{00000000-0005-0000-0000-0000A3090000}"/>
    <cellStyle name="Input [yellow] 11 3 3 2" xfId="2424" xr:uid="{00000000-0005-0000-0000-0000A6090000}"/>
    <cellStyle name="Input [yellow] 11 4" xfId="587" xr:uid="{00000000-0005-0000-0000-000079020000}"/>
    <cellStyle name="Input [yellow] 11 4 2" xfId="3453" xr:uid="{00000000-0005-0000-0000-0000AB0D0000}"/>
    <cellStyle name="Input [yellow] 11 4 4" xfId="1001" xr:uid="{00000000-0005-0000-0000-000017040000}"/>
    <cellStyle name="Input [yellow] 11 4 5" xfId="1836" xr:uid="{00000000-0005-0000-0000-00005A070000}"/>
    <cellStyle name="Input [yellow] 11 5" xfId="2887" xr:uid="{00000000-0005-0000-0000-0000750B0000}"/>
    <cellStyle name="Input [yellow] 11 5 2" xfId="665" xr:uid="{00000000-0005-0000-0000-0000C7020000}"/>
    <cellStyle name="Input [yellow] 11 6" xfId="3212" xr:uid="{00000000-0005-0000-0000-0000BA0C0000}"/>
    <cellStyle name="Input [yellow] 11 7" xfId="2409" xr:uid="{00000000-0005-0000-0000-000097090000}"/>
    <cellStyle name="Input [yellow] 12 2" xfId="2890" xr:uid="{00000000-0005-0000-0000-0000780B0000}"/>
    <cellStyle name="Input [yellow] 12 2 2" xfId="387" xr:uid="{00000000-0005-0000-0000-0000B1010000}"/>
    <cellStyle name="Input [yellow] 12 2 2 3" xfId="436" xr:uid="{00000000-0005-0000-0000-0000E2010000}"/>
    <cellStyle name="Input [yellow] 12 3" xfId="2689" xr:uid="{00000000-0005-0000-0000-0000AF0A0000}"/>
    <cellStyle name="Input [yellow] 12 3 2" xfId="2701" xr:uid="{00000000-0005-0000-0000-0000BB0A0000}"/>
    <cellStyle name="Input [yellow] 12 3 5" xfId="956" xr:uid="{00000000-0005-0000-0000-0000EA030000}"/>
    <cellStyle name="Input [yellow] 12 4" xfId="2893" xr:uid="{00000000-0005-0000-0000-00007B0B0000}"/>
    <cellStyle name="Input [yellow] 12 4 4" xfId="1004" xr:uid="{00000000-0005-0000-0000-00001A040000}"/>
    <cellStyle name="Input [yellow] 12 4 5" xfId="1630" xr:uid="{00000000-0005-0000-0000-00008C060000}"/>
    <cellStyle name="Input [yellow] 12 5" xfId="2897" xr:uid="{00000000-0005-0000-0000-00007F0B0000}"/>
    <cellStyle name="Input [yellow] 13 2" xfId="2900" xr:uid="{00000000-0005-0000-0000-0000820B0000}"/>
    <cellStyle name="Input [yellow] 13 3" xfId="3462" xr:uid="{00000000-0005-0000-0000-0000B40D0000}"/>
    <cellStyle name="Input [yellow] 13 4" xfId="962" xr:uid="{00000000-0005-0000-0000-0000F0030000}"/>
    <cellStyle name="Input [yellow] 14 2 3" xfId="2292" xr:uid="{00000000-0005-0000-0000-000022090000}"/>
    <cellStyle name="Input [yellow] 14 2 3 2" xfId="2438" xr:uid="{00000000-0005-0000-0000-0000B4090000}"/>
    <cellStyle name="Input [yellow] 14 2 4" xfId="415" xr:uid="{00000000-0005-0000-0000-0000CD010000}"/>
    <cellStyle name="Input [yellow] 14 2 5" xfId="2432" xr:uid="{00000000-0005-0000-0000-0000AE090000}"/>
    <cellStyle name="Input [yellow] 14 2 6" xfId="2445" xr:uid="{00000000-0005-0000-0000-0000BB090000}"/>
    <cellStyle name="Input [yellow] 14 3" xfId="3469" xr:uid="{00000000-0005-0000-0000-0000BB0D0000}"/>
    <cellStyle name="Input [yellow] 15" xfId="3402" xr:uid="{00000000-0005-0000-0000-0000780D0000}"/>
    <cellStyle name="Input [yellow] 15 2" xfId="3406" xr:uid="{00000000-0005-0000-0000-00007C0D0000}"/>
    <cellStyle name="Input [yellow] 15 2 3 2" xfId="259" xr:uid="{00000000-0005-0000-0000-000027010000}"/>
    <cellStyle name="Input [yellow] 16" xfId="3410" xr:uid="{00000000-0005-0000-0000-0000800D0000}"/>
    <cellStyle name="Input [yellow] 16 2" xfId="1382" xr:uid="{00000000-0005-0000-0000-000094050000}"/>
    <cellStyle name="Input [yellow] 16 5" xfId="12" xr:uid="{00000000-0005-0000-0000-000010000000}"/>
    <cellStyle name="Input [yellow] 17" xfId="3413" xr:uid="{00000000-0005-0000-0000-0000830D0000}"/>
    <cellStyle name="Input [yellow] 17 2" xfId="1975" xr:uid="{00000000-0005-0000-0000-0000E5070000}"/>
    <cellStyle name="Input [yellow] 17 2 2" xfId="1628" xr:uid="{00000000-0005-0000-0000-00008A060000}"/>
    <cellStyle name="Input [yellow] 17 2 2 2" xfId="1636" xr:uid="{00000000-0005-0000-0000-000092060000}"/>
    <cellStyle name="Input [yellow] 18" xfId="3418" xr:uid="{00000000-0005-0000-0000-0000880D0000}"/>
    <cellStyle name="Input [yellow] 18 2" xfId="2166" xr:uid="{00000000-0005-0000-0000-0000A4080000}"/>
    <cellStyle name="Input [yellow] 18 2 2" xfId="1912" xr:uid="{00000000-0005-0000-0000-0000A6070000}"/>
    <cellStyle name="Input [yellow] 18 2 2 2" xfId="3374" xr:uid="{00000000-0005-0000-0000-00005C0D0000}"/>
    <cellStyle name="Input [yellow] 18 2 3" xfId="3964" xr:uid="{00000000-0005-0000-0000-0000AA0F0000}"/>
    <cellStyle name="Input [yellow] 18 2 3 2" xfId="3475" xr:uid="{00000000-0005-0000-0000-0000C10D0000}"/>
    <cellStyle name="Input [yellow] 18 2 4" xfId="3586" xr:uid="{00000000-0005-0000-0000-0000300E0000}"/>
    <cellStyle name="Input [yellow] 18 2 5" xfId="3592" xr:uid="{00000000-0005-0000-0000-0000360E0000}"/>
    <cellStyle name="Input [yellow] 18 2 6" xfId="3971" xr:uid="{00000000-0005-0000-0000-0000B10F0000}"/>
    <cellStyle name="Input [yellow] 18 3" xfId="2180" xr:uid="{00000000-0005-0000-0000-0000B2080000}"/>
    <cellStyle name="Input [yellow] 18 3 2" xfId="2192" xr:uid="{00000000-0005-0000-0000-0000BE080000}"/>
    <cellStyle name="Input [yellow] 18 4" xfId="2198" xr:uid="{00000000-0005-0000-0000-0000C4080000}"/>
    <cellStyle name="Input [yellow] 18 5" xfId="2210" xr:uid="{00000000-0005-0000-0000-0000D0080000}"/>
    <cellStyle name="Input [yellow] 19" xfId="3423" xr:uid="{00000000-0005-0000-0000-00008D0D0000}"/>
    <cellStyle name="Input [yellow] 19 2" xfId="2429" xr:uid="{00000000-0005-0000-0000-0000AB090000}"/>
    <cellStyle name="Input [yellow] 19 2 2" xfId="164" xr:uid="{00000000-0005-0000-0000-0000B7000000}"/>
    <cellStyle name="Input [yellow] 19 2 2 2" xfId="852" xr:uid="{00000000-0005-0000-0000-000082030000}"/>
    <cellStyle name="Input [yellow] 19 2 3" xfId="112" xr:uid="{00000000-0005-0000-0000-00007C000000}"/>
    <cellStyle name="Input [yellow] 19 2 3 2" xfId="1261" xr:uid="{00000000-0005-0000-0000-00001B050000}"/>
    <cellStyle name="Input [yellow] 19 3" xfId="2448" xr:uid="{00000000-0005-0000-0000-0000BE090000}"/>
    <cellStyle name="Input [yellow] 19 3 2" xfId="2072" xr:uid="{00000000-0005-0000-0000-000046080000}"/>
    <cellStyle name="Input [yellow] 19 4" xfId="2463" xr:uid="{00000000-0005-0000-0000-0000CD090000}"/>
    <cellStyle name="Input [yellow] 19 5" xfId="73" xr:uid="{00000000-0005-0000-0000-000052000000}"/>
    <cellStyle name="Input [yellow] 2 10" xfId="1514" xr:uid="{00000000-0005-0000-0000-000018060000}"/>
    <cellStyle name="Input [yellow] 2 11" xfId="1317" xr:uid="{00000000-0005-0000-0000-000053050000}"/>
    <cellStyle name="Input [yellow] 2 2 2 2 5" xfId="2042" xr:uid="{00000000-0005-0000-0000-000028080000}"/>
    <cellStyle name="Input [yellow] 2 2 2 5" xfId="767" xr:uid="{00000000-0005-0000-0000-00002D030000}"/>
    <cellStyle name="Input [yellow] 2 2 3 3 2" xfId="3054" xr:uid="{00000000-0005-0000-0000-00001C0C0000}"/>
    <cellStyle name="Input [yellow] 2 2 3 4" xfId="600" xr:uid="{00000000-0005-0000-0000-000086020000}"/>
    <cellStyle name="Input [yellow] 2 2 4 5" xfId="449" xr:uid="{00000000-0005-0000-0000-0000EF010000}"/>
    <cellStyle name="Input [yellow] 2 3 2 2" xfId="348" xr:uid="{00000000-0005-0000-0000-00008A010000}"/>
    <cellStyle name="Input [yellow] 2 3 2 2 2" xfId="3190" xr:uid="{00000000-0005-0000-0000-0000A40C0000}"/>
    <cellStyle name="Input [yellow] 2 3 2 3 2" xfId="3211" xr:uid="{00000000-0005-0000-0000-0000B90C0000}"/>
    <cellStyle name="Input [yellow] 2 4 2" xfId="174" xr:uid="{00000000-0005-0000-0000-0000C5000000}"/>
    <cellStyle name="Input [yellow] 2 4 2 2" xfId="3177" xr:uid="{00000000-0005-0000-0000-0000970C0000}"/>
    <cellStyle name="Input [yellow] 2 4 2 2 2" xfId="3180" xr:uid="{00000000-0005-0000-0000-00009A0C0000}"/>
    <cellStyle name="Input [yellow] 2 4 2 3" xfId="2407" xr:uid="{00000000-0005-0000-0000-000095090000}"/>
    <cellStyle name="Input [yellow] 2 4 2 3 2" xfId="185" xr:uid="{00000000-0005-0000-0000-0000D1000000}"/>
    <cellStyle name="Input [yellow] 2 4 2 4" xfId="291" xr:uid="{00000000-0005-0000-0000-00004D010000}"/>
    <cellStyle name="Input [yellow] 2 4 2 5" xfId="3186" xr:uid="{00000000-0005-0000-0000-0000A00C0000}"/>
    <cellStyle name="Input [yellow] 2 4 2 6" xfId="2575" xr:uid="{00000000-0005-0000-0000-00003D0A0000}"/>
    <cellStyle name="Input [yellow] 2 4 3" xfId="354" xr:uid="{00000000-0005-0000-0000-000090010000}"/>
    <cellStyle name="Input [yellow] 2 4 3 2" xfId="3197" xr:uid="{00000000-0005-0000-0000-0000AB0C0000}"/>
    <cellStyle name="Input [yellow] 2 4 4" xfId="3206" xr:uid="{00000000-0005-0000-0000-0000B40C0000}"/>
    <cellStyle name="Input [yellow] 2 4 5" xfId="3222" xr:uid="{00000000-0005-0000-0000-0000C40C0000}"/>
    <cellStyle name="Input [yellow] 2 4 6" xfId="1194" xr:uid="{00000000-0005-0000-0000-0000D8040000}"/>
    <cellStyle name="Input [yellow] 2 5 2" xfId="3275" xr:uid="{00000000-0005-0000-0000-0000F90C0000}"/>
    <cellStyle name="Input [yellow] 2 5 2 2" xfId="3286" xr:uid="{00000000-0005-0000-0000-0000040D0000}"/>
    <cellStyle name="Input [yellow] 2 5 3" xfId="3296" xr:uid="{00000000-0005-0000-0000-00000E0D0000}"/>
    <cellStyle name="Input [yellow] 2 5 3 2" xfId="3307" xr:uid="{00000000-0005-0000-0000-0000190D0000}"/>
    <cellStyle name="Input [yellow] 2 5 4" xfId="3313" xr:uid="{00000000-0005-0000-0000-00001F0D0000}"/>
    <cellStyle name="Input [yellow] 2 5 5" xfId="3330" xr:uid="{00000000-0005-0000-0000-0000300D0000}"/>
    <cellStyle name="Input [yellow] 2 5 6" xfId="3333" xr:uid="{00000000-0005-0000-0000-0000330D0000}"/>
    <cellStyle name="Input [yellow] 2 6 2" xfId="31" xr:uid="{00000000-0005-0000-0000-000025000000}"/>
    <cellStyle name="Input [yellow] 2 7" xfId="212" xr:uid="{00000000-0005-0000-0000-0000F0000000}"/>
    <cellStyle name="Input [yellow] 20" xfId="3404" xr:uid="{00000000-0005-0000-0000-00007A0D0000}"/>
    <cellStyle name="Input [yellow] 20 2" xfId="3408" xr:uid="{00000000-0005-0000-0000-00007E0D0000}"/>
    <cellStyle name="Input [yellow] 21" xfId="3412" xr:uid="{00000000-0005-0000-0000-0000820D0000}"/>
    <cellStyle name="Input [yellow] 21 2" xfId="1380" xr:uid="{00000000-0005-0000-0000-000092050000}"/>
    <cellStyle name="Input [yellow] 22" xfId="3415" xr:uid="{00000000-0005-0000-0000-0000850D0000}"/>
    <cellStyle name="Input [yellow] 23" xfId="3420" xr:uid="{00000000-0005-0000-0000-00008A0D0000}"/>
    <cellStyle name="Input [yellow] 24" xfId="3424" xr:uid="{00000000-0005-0000-0000-00008E0D0000}"/>
    <cellStyle name="Input [yellow] 26" xfId="2444" xr:uid="{00000000-0005-0000-0000-0000BA090000}"/>
    <cellStyle name="Input [yellow] 3 2 2 2 2" xfId="1370" xr:uid="{00000000-0005-0000-0000-000088050000}"/>
    <cellStyle name="Input [yellow] 3 2 2 2 2 2" xfId="1386" xr:uid="{00000000-0005-0000-0000-000098050000}"/>
    <cellStyle name="Input [yellow] 3 2 2 2 3" xfId="1393" xr:uid="{00000000-0005-0000-0000-00009F050000}"/>
    <cellStyle name="Input [yellow] 3 2 2 2 3 2" xfId="1980" xr:uid="{00000000-0005-0000-0000-0000EA070000}"/>
    <cellStyle name="Input [yellow] 3 2 2 2 4" xfId="2027" xr:uid="{00000000-0005-0000-0000-000019080000}"/>
    <cellStyle name="Input [yellow] 3 2 2 2 5" xfId="2296" xr:uid="{00000000-0005-0000-0000-000026090000}"/>
    <cellStyle name="Input [yellow] 3 2 2 2 6" xfId="412" xr:uid="{00000000-0005-0000-0000-0000CA010000}"/>
    <cellStyle name="Input [yellow] 3 2 2 5" xfId="2703" xr:uid="{00000000-0005-0000-0000-0000BD0A0000}"/>
    <cellStyle name="Input [yellow] 3 2 3 4" xfId="728" xr:uid="{00000000-0005-0000-0000-000006030000}"/>
    <cellStyle name="Input [yellow] 3 3 4" xfId="329" xr:uid="{00000000-0005-0000-0000-000077010000}"/>
    <cellStyle name="Input [yellow] 3 4 2" xfId="3427" xr:uid="{00000000-0005-0000-0000-0000910D0000}"/>
    <cellStyle name="Input [yellow] 3 4 2 2" xfId="1170" xr:uid="{00000000-0005-0000-0000-0000C0040000}"/>
    <cellStyle name="Input [yellow] 3 4 3" xfId="3174" xr:uid="{00000000-0005-0000-0000-0000940C0000}"/>
    <cellStyle name="Input [yellow] 3 4 3 2" xfId="3182" xr:uid="{00000000-0005-0000-0000-00009C0C0000}"/>
    <cellStyle name="Input [yellow] 3 4 4" xfId="2402" xr:uid="{00000000-0005-0000-0000-000090090000}"/>
    <cellStyle name="Input [yellow] 3 4 5" xfId="293" xr:uid="{00000000-0005-0000-0000-00004F010000}"/>
    <cellStyle name="Input [yellow] 3 4 6" xfId="3184" xr:uid="{00000000-0005-0000-0000-00009E0C0000}"/>
    <cellStyle name="Input [yellow] 3 5 2" xfId="3447" xr:uid="{00000000-0005-0000-0000-0000A50D0000}"/>
    <cellStyle name="Input [yellow] 4" xfId="58" xr:uid="{00000000-0005-0000-0000-000043000000}"/>
    <cellStyle name="Input [yellow] 4 2" xfId="1025" xr:uid="{00000000-0005-0000-0000-00002F040000}"/>
    <cellStyle name="Input [yellow] 4 2 2" xfId="1717" xr:uid="{00000000-0005-0000-0000-0000E3060000}"/>
    <cellStyle name="Input [yellow] 4 2 2 2 3 2" xfId="496" xr:uid="{00000000-0005-0000-0000-00001E020000}"/>
    <cellStyle name="Input [yellow] 4 2 2 2 5" xfId="3904" xr:uid="{00000000-0005-0000-0000-00006E0F0000}"/>
    <cellStyle name="Input [yellow] 4 2 2 2 6" xfId="3908" xr:uid="{00000000-0005-0000-0000-0000720F0000}"/>
    <cellStyle name="Input [yellow] 4 2 3 2 2" xfId="4053" xr:uid="{00000000-0005-0000-0000-000003100000}"/>
    <cellStyle name="Input [yellow] 4 3 2" xfId="1507" xr:uid="{00000000-0005-0000-0000-000011060000}"/>
    <cellStyle name="Input [yellow] 4 3 2 2" xfId="916" xr:uid="{00000000-0005-0000-0000-0000C2030000}"/>
    <cellStyle name="Input [yellow] 4 3 2 2 2" xfId="925" xr:uid="{00000000-0005-0000-0000-0000CB030000}"/>
    <cellStyle name="Input [yellow] 4 3 2 5" xfId="1047" xr:uid="{00000000-0005-0000-0000-000045040000}"/>
    <cellStyle name="Input [yellow] 4 4 2" xfId="1750" xr:uid="{00000000-0005-0000-0000-000004070000}"/>
    <cellStyle name="Input [yellow] 4 4 2 2" xfId="3519" xr:uid="{00000000-0005-0000-0000-0000ED0D0000}"/>
    <cellStyle name="Input [yellow] 4 4 3" xfId="3282" xr:uid="{00000000-0005-0000-0000-0000000D0000}"/>
    <cellStyle name="Input [yellow] 4 4 3 2" xfId="3521" xr:uid="{00000000-0005-0000-0000-0000EF0D0000}"/>
    <cellStyle name="Input [yellow] 4 4 4" xfId="3291" xr:uid="{00000000-0005-0000-0000-0000090D0000}"/>
    <cellStyle name="Input [yellow] 4 4 5" xfId="3529" xr:uid="{00000000-0005-0000-0000-0000F70D0000}"/>
    <cellStyle name="Input [yellow] 4 4 6" xfId="3535" xr:uid="{00000000-0005-0000-0000-0000FD0D0000}"/>
    <cellStyle name="Input [yellow] 4 5 2" xfId="1784" xr:uid="{00000000-0005-0000-0000-000026070000}"/>
    <cellStyle name="Input [yellow] 5" xfId="1887" xr:uid="{00000000-0005-0000-0000-00008D070000}"/>
    <cellStyle name="Input [yellow] 5 2 2" xfId="1860" xr:uid="{00000000-0005-0000-0000-000072070000}"/>
    <cellStyle name="Input [yellow] 5 2 2 2" xfId="1863" xr:uid="{00000000-0005-0000-0000-000075070000}"/>
    <cellStyle name="Input [yellow] 5 2 2 3 2" xfId="2795" xr:uid="{00000000-0005-0000-0000-0000190B0000}"/>
    <cellStyle name="Input [yellow] 5 2 3" xfId="1876" xr:uid="{00000000-0005-0000-0000-000082070000}"/>
    <cellStyle name="Input [yellow] 5 2 3 2" xfId="1770" xr:uid="{00000000-0005-0000-0000-000018070000}"/>
    <cellStyle name="Input [yellow] 5 2 3 3 2" xfId="811" xr:uid="{00000000-0005-0000-0000-000059030000}"/>
    <cellStyle name="Input [yellow] 5 2 4" xfId="1881" xr:uid="{00000000-0005-0000-0000-000087070000}"/>
    <cellStyle name="Input [yellow] 5 2 4 2" xfId="1886" xr:uid="{00000000-0005-0000-0000-00008C070000}"/>
    <cellStyle name="Input [yellow] 5 2 5" xfId="549" xr:uid="{00000000-0005-0000-0000-000053020000}"/>
    <cellStyle name="Input [yellow] 5 3 2" xfId="1549" xr:uid="{00000000-0005-0000-0000-00003B060000}"/>
    <cellStyle name="Input [yellow] 5 3 2 2" xfId="1555" xr:uid="{00000000-0005-0000-0000-000041060000}"/>
    <cellStyle name="Input [yellow] 5 3 3" xfId="1999" xr:uid="{00000000-0005-0000-0000-0000FD070000}"/>
    <cellStyle name="Input [yellow] 5 3 3 2" xfId="2012" xr:uid="{00000000-0005-0000-0000-00000A080000}"/>
    <cellStyle name="Input [yellow] 5 3 4" xfId="463" xr:uid="{00000000-0005-0000-0000-0000FD010000}"/>
    <cellStyle name="Input [yellow] 5 3 5" xfId="401" xr:uid="{00000000-0005-0000-0000-0000BF010000}"/>
    <cellStyle name="Input [yellow] 5 3 6" xfId="2792" xr:uid="{00000000-0005-0000-0000-0000160B0000}"/>
    <cellStyle name="Input [yellow] 5 4 2" xfId="2232" xr:uid="{00000000-0005-0000-0000-0000E6080000}"/>
    <cellStyle name="Input [yellow] 5 4 2 2" xfId="2238" xr:uid="{00000000-0005-0000-0000-0000EC080000}"/>
    <cellStyle name="Input [yellow] 5 4 3" xfId="2248" xr:uid="{00000000-0005-0000-0000-0000F6080000}"/>
    <cellStyle name="Input [yellow] 5 4 3 2" xfId="2260" xr:uid="{00000000-0005-0000-0000-000002090000}"/>
    <cellStyle name="Input [yellow] 5 4 4" xfId="2271" xr:uid="{00000000-0005-0000-0000-00000D090000}"/>
    <cellStyle name="Input [yellow] 5 4 5" xfId="2284" xr:uid="{00000000-0005-0000-0000-00001A090000}"/>
    <cellStyle name="Input [yellow] 5 5 2" xfId="2488" xr:uid="{00000000-0005-0000-0000-0000E6090000}"/>
    <cellStyle name="Input [yellow] 6 2 2 3 2" xfId="2728" xr:uid="{00000000-0005-0000-0000-0000D60A0000}"/>
    <cellStyle name="Input [yellow] 6 2 3 3" xfId="779" xr:uid="{00000000-0005-0000-0000-000039030000}"/>
    <cellStyle name="Input [yellow] 6 3 2 2" xfId="614" xr:uid="{00000000-0005-0000-0000-000094020000}"/>
    <cellStyle name="Input [yellow] 6 3 2 2 2" xfId="2377" xr:uid="{00000000-0005-0000-0000-000077090000}"/>
    <cellStyle name="Input [yellow] 6 3 2 3" xfId="2380" xr:uid="{00000000-0005-0000-0000-00007A090000}"/>
    <cellStyle name="Input [yellow] 6 3 2 3 2" xfId="2383" xr:uid="{00000000-0005-0000-0000-00007D090000}"/>
    <cellStyle name="Input [yellow] 6 3 2 4" xfId="482" xr:uid="{00000000-0005-0000-0000-000010020000}"/>
    <cellStyle name="Input [yellow] 6 3 2 5" xfId="2390" xr:uid="{00000000-0005-0000-0000-000084090000}"/>
    <cellStyle name="Input [yellow] 6 3 2 6" xfId="2398" xr:uid="{00000000-0005-0000-0000-00008C090000}"/>
    <cellStyle name="Input [yellow] 6 3 6" xfId="809" xr:uid="{00000000-0005-0000-0000-000057030000}"/>
    <cellStyle name="Input [yellow] 6 4 2" xfId="3638" xr:uid="{00000000-0005-0000-0000-0000640E0000}"/>
    <cellStyle name="Input [yellow] 6 4 2 2" xfId="3642" xr:uid="{00000000-0005-0000-0000-0000680E0000}"/>
    <cellStyle name="Input [yellow] 6 4 3" xfId="3344" xr:uid="{00000000-0005-0000-0000-00003E0D0000}"/>
    <cellStyle name="Input [yellow] 6 4 4" xfId="1486" xr:uid="{00000000-0005-0000-0000-0000FC050000}"/>
    <cellStyle name="Input [yellow] 6 5" xfId="2349" xr:uid="{00000000-0005-0000-0000-00005B090000}"/>
    <cellStyle name="Input [yellow] 6 5 2" xfId="2358" xr:uid="{00000000-0005-0000-0000-000064090000}"/>
    <cellStyle name="Input [yellow] 6 6" xfId="2365" xr:uid="{00000000-0005-0000-0000-00006B090000}"/>
    <cellStyle name="Input [yellow] 6 7" xfId="615" xr:uid="{00000000-0005-0000-0000-000095020000}"/>
    <cellStyle name="Input [yellow] 6 8" xfId="2381" xr:uid="{00000000-0005-0000-0000-00007B090000}"/>
    <cellStyle name="Input [yellow] 7" xfId="1397" xr:uid="{00000000-0005-0000-0000-0000A3050000}"/>
    <cellStyle name="Input [yellow] 7 2" xfId="1406" xr:uid="{00000000-0005-0000-0000-0000AC050000}"/>
    <cellStyle name="Input [yellow] 7 2 2 2 5" xfId="1992" xr:uid="{00000000-0005-0000-0000-0000F6070000}"/>
    <cellStyle name="Input [yellow] 7 2 2 3 2" xfId="2719" xr:uid="{00000000-0005-0000-0000-0000CD0A0000}"/>
    <cellStyle name="Input [yellow] 7 2 3 2 2" xfId="139" xr:uid="{00000000-0005-0000-0000-00009C000000}"/>
    <cellStyle name="Input [yellow] 7 2 3 6" xfId="2606" xr:uid="{00000000-0005-0000-0000-00005C0A0000}"/>
    <cellStyle name="Input [yellow] 7 3 2 5" xfId="3483" xr:uid="{00000000-0005-0000-0000-0000C90D0000}"/>
    <cellStyle name="Input [yellow] 7 3 2 6" xfId="34" xr:uid="{00000000-0005-0000-0000-000029000000}"/>
    <cellStyle name="Input [yellow] 7 4 2" xfId="3737" xr:uid="{00000000-0005-0000-0000-0000C70E0000}"/>
    <cellStyle name="Input [yellow] 7 4 2 2" xfId="320" xr:uid="{00000000-0005-0000-0000-00006E010000}"/>
    <cellStyle name="Input [yellow] 7 4 3" xfId="3744" xr:uid="{00000000-0005-0000-0000-0000CE0E0000}"/>
    <cellStyle name="Input [yellow] 7 4 4" xfId="3750" xr:uid="{00000000-0005-0000-0000-0000D40E0000}"/>
    <cellStyle name="Input [yellow] 7 4 6" xfId="1410" xr:uid="{00000000-0005-0000-0000-0000B0050000}"/>
    <cellStyle name="Input [yellow] 7 5 2" xfId="3760" xr:uid="{00000000-0005-0000-0000-0000DE0E0000}"/>
    <cellStyle name="Input [yellow] 8 2 2 2 3 2" xfId="913" xr:uid="{00000000-0005-0000-0000-0000BF030000}"/>
    <cellStyle name="Input [yellow] 8 2 3 2 2" xfId="1524" xr:uid="{00000000-0005-0000-0000-000022060000}"/>
    <cellStyle name="Input [yellow] 8 2 3 3 2" xfId="2217" xr:uid="{00000000-0005-0000-0000-0000D7080000}"/>
    <cellStyle name="Input [yellow] 8 2 3 6" xfId="4065" xr:uid="{00000000-0005-0000-0000-00000F100000}"/>
    <cellStyle name="Input [yellow] 8 2 6" xfId="536" xr:uid="{00000000-0005-0000-0000-000046020000}"/>
    <cellStyle name="Input [yellow] 8 3 2 3" xfId="1618" xr:uid="{00000000-0005-0000-0000-000080060000}"/>
    <cellStyle name="Input [yellow] 8 3 2 3 2" xfId="1620" xr:uid="{00000000-0005-0000-0000-000082060000}"/>
    <cellStyle name="Input [yellow] 8 3 6" xfId="3947" xr:uid="{00000000-0005-0000-0000-0000990F0000}"/>
    <cellStyle name="Input [yellow] 8 4 2" xfId="3490" xr:uid="{00000000-0005-0000-0000-0000D00D0000}"/>
    <cellStyle name="Input [yellow] 8 4 2 2" xfId="3811" xr:uid="{00000000-0005-0000-0000-0000110F0000}"/>
    <cellStyle name="Input [yellow] 8 4 3" xfId="1657" xr:uid="{00000000-0005-0000-0000-0000A7060000}"/>
    <cellStyle name="Input [yellow] 8 4 4" xfId="2587" xr:uid="{00000000-0005-0000-0000-0000490A0000}"/>
    <cellStyle name="Input [yellow] 8 4 6" xfId="24" xr:uid="{00000000-0005-0000-0000-00001D000000}"/>
    <cellStyle name="Input [yellow] 8 5 2" xfId="3830" xr:uid="{00000000-0005-0000-0000-0000240F0000}"/>
    <cellStyle name="Input [yellow] 9 2 2 2 3" xfId="23" xr:uid="{00000000-0005-0000-0000-00001C000000}"/>
    <cellStyle name="Input [yellow] 9 2 2 2 3 2" xfId="268" xr:uid="{00000000-0005-0000-0000-000031010000}"/>
    <cellStyle name="Input [yellow] 9 2 2 2 4" xfId="2696" xr:uid="{00000000-0005-0000-0000-0000B60A0000}"/>
    <cellStyle name="Input [yellow] 9 2 2 2 5" xfId="1276" xr:uid="{00000000-0005-0000-0000-00002A050000}"/>
    <cellStyle name="Input [yellow] 9 2 2 2 6" xfId="1150" xr:uid="{00000000-0005-0000-0000-0000AC040000}"/>
    <cellStyle name="Input [yellow] 9 3 2 2" xfId="2806" xr:uid="{00000000-0005-0000-0000-0000240B0000}"/>
    <cellStyle name="Input [yellow] 9 3 2 2 2" xfId="1013" xr:uid="{00000000-0005-0000-0000-000023040000}"/>
    <cellStyle name="Input [yellow] 9 3 2 3" xfId="2927" xr:uid="{00000000-0005-0000-0000-00009D0B0000}"/>
    <cellStyle name="Input [yellow] 9 3 2 3 2" xfId="199" xr:uid="{00000000-0005-0000-0000-0000E1000000}"/>
    <cellStyle name="Input [yellow] 9 3 3 2" xfId="142" xr:uid="{00000000-0005-0000-0000-00009F000000}"/>
    <cellStyle name="Input [yellow] 9 3 6" xfId="3960" xr:uid="{00000000-0005-0000-0000-0000A60F0000}"/>
    <cellStyle name="Input [yellow] 9 4 2" xfId="3507" xr:uid="{00000000-0005-0000-0000-0000E10D0000}"/>
    <cellStyle name="Input [yellow] 9 4 2 2" xfId="3885" xr:uid="{00000000-0005-0000-0000-00005B0F0000}"/>
    <cellStyle name="Input [yellow] 9 4 3" xfId="3888" xr:uid="{00000000-0005-0000-0000-00005E0F0000}"/>
    <cellStyle name="Input [yellow] 9 4 4" xfId="701" xr:uid="{00000000-0005-0000-0000-0000EB020000}"/>
    <cellStyle name="Input [yellow] 9 4 6" xfId="126" xr:uid="{00000000-0005-0000-0000-00008B000000}"/>
    <cellStyle name="Input [yellow] 9 5 2" xfId="3899" xr:uid="{00000000-0005-0000-0000-0000690F0000}"/>
    <cellStyle name="Input [yellow] 9 7" xfId="244" xr:uid="{00000000-0005-0000-0000-000015010000}"/>
    <cellStyle name="Input [yellow] 9 8" xfId="256" xr:uid="{00000000-0005-0000-0000-000023010000}"/>
    <cellStyle name="Input 10 10" xfId="733" xr:uid="{00000000-0005-0000-0000-00000B030000}"/>
    <cellStyle name="Input 10 10 2" xfId="744" xr:uid="{00000000-0005-0000-0000-000016030000}"/>
    <cellStyle name="Input 10 12" xfId="835" xr:uid="{00000000-0005-0000-0000-000071030000}"/>
    <cellStyle name="Input 10 2 2 2" xfId="3280" xr:uid="{00000000-0005-0000-0000-0000FE0C0000}"/>
    <cellStyle name="Input 10 2 2 2 2" xfId="3522" xr:uid="{00000000-0005-0000-0000-0000F00D0000}"/>
    <cellStyle name="Input 10 2 2 3" xfId="3288" xr:uid="{00000000-0005-0000-0000-0000060D0000}"/>
    <cellStyle name="Input 10 2 2 3 2" xfId="3523" xr:uid="{00000000-0005-0000-0000-0000F10D0000}"/>
    <cellStyle name="Input 10 2 2 4" xfId="3526" xr:uid="{00000000-0005-0000-0000-0000F40D0000}"/>
    <cellStyle name="Input 10 2 2 4 2" xfId="2326" xr:uid="{00000000-0005-0000-0000-000044090000}"/>
    <cellStyle name="Input 10 2 2 5" xfId="3532" xr:uid="{00000000-0005-0000-0000-0000FA0D0000}"/>
    <cellStyle name="Input 10 2 2 6" xfId="525" xr:uid="{00000000-0005-0000-0000-00003B020000}"/>
    <cellStyle name="Input 10 2 2 6 2" xfId="532" xr:uid="{00000000-0005-0000-0000-000042020000}"/>
    <cellStyle name="Input 10 2 2 9" xfId="2957" xr:uid="{00000000-0005-0000-0000-0000BB0B0000}"/>
    <cellStyle name="Input 10 2 3 2" xfId="3303" xr:uid="{00000000-0005-0000-0000-0000150D0000}"/>
    <cellStyle name="Input 10 2 3 2 2" xfId="287" xr:uid="{00000000-0005-0000-0000-000047010000}"/>
    <cellStyle name="Input 10 2 3 3" xfId="3548" xr:uid="{00000000-0005-0000-0000-00000A0E0000}"/>
    <cellStyle name="Input 10 2 3 4 2" xfId="2808" xr:uid="{00000000-0005-0000-0000-0000260B0000}"/>
    <cellStyle name="Input 10 2 4 2" xfId="3325" xr:uid="{00000000-0005-0000-0000-00002B0D0000}"/>
    <cellStyle name="Input 10 2 4 3" xfId="3578" xr:uid="{00000000-0005-0000-0000-0000280E0000}"/>
    <cellStyle name="Input 10 2 4 3 2" xfId="1789" xr:uid="{00000000-0005-0000-0000-00002B070000}"/>
    <cellStyle name="Input 10 2 4 4 2" xfId="2343" xr:uid="{00000000-0005-0000-0000-000055090000}"/>
    <cellStyle name="Input 10 2 6 2" xfId="254" xr:uid="{00000000-0005-0000-0000-000020010000}"/>
    <cellStyle name="Input 10 3 2 2" xfId="2243" xr:uid="{00000000-0005-0000-0000-0000F1080000}"/>
    <cellStyle name="Input 10 3 2 2 2" xfId="2262" xr:uid="{00000000-0005-0000-0000-000004090000}"/>
    <cellStyle name="Input 10 3 2 3" xfId="2265" xr:uid="{00000000-0005-0000-0000-000007090000}"/>
    <cellStyle name="Input 10 3 2 3 2" xfId="2279" xr:uid="{00000000-0005-0000-0000-000015090000}"/>
    <cellStyle name="Input 10 3 2 4" xfId="2285" xr:uid="{00000000-0005-0000-0000-00001B090000}"/>
    <cellStyle name="Input 10 3 2 4 2" xfId="831" xr:uid="{00000000-0005-0000-0000-00006D030000}"/>
    <cellStyle name="Input 10 3 3 2" xfId="2512" xr:uid="{00000000-0005-0000-0000-0000FE090000}"/>
    <cellStyle name="Input 10 3 3 2 2" xfId="2524" xr:uid="{00000000-0005-0000-0000-00000A0A0000}"/>
    <cellStyle name="Input 10 3 3 3" xfId="1214" xr:uid="{00000000-0005-0000-0000-0000EC040000}"/>
    <cellStyle name="Input 10 3 3 3 2" xfId="1219" xr:uid="{00000000-0005-0000-0000-0000F1040000}"/>
    <cellStyle name="Input 10 3 3 4" xfId="2527" xr:uid="{00000000-0005-0000-0000-00000D0A0000}"/>
    <cellStyle name="Input 10 3 3 4 2" xfId="2533" xr:uid="{00000000-0005-0000-0000-0000130A0000}"/>
    <cellStyle name="Input 10 3 4 2" xfId="2675" xr:uid="{00000000-0005-0000-0000-0000A10A0000}"/>
    <cellStyle name="Input 10 3 4 3" xfId="1225" xr:uid="{00000000-0005-0000-0000-0000F7040000}"/>
    <cellStyle name="Input 10 3 5 2" xfId="322" xr:uid="{00000000-0005-0000-0000-000070010000}"/>
    <cellStyle name="Input 10 3 7" xfId="3117" xr:uid="{00000000-0005-0000-0000-00005B0C0000}"/>
    <cellStyle name="Input 10 3 8" xfId="3131" xr:uid="{00000000-0005-0000-0000-0000690C0000}"/>
    <cellStyle name="Input 10 3 9" xfId="1401" xr:uid="{00000000-0005-0000-0000-0000A7050000}"/>
    <cellStyle name="Input 10 4 2 2" xfId="3346" xr:uid="{00000000-0005-0000-0000-0000400D0000}"/>
    <cellStyle name="Input 10 4 2 3" xfId="1491" xr:uid="{00000000-0005-0000-0000-000001060000}"/>
    <cellStyle name="Input 10 4 3 2" xfId="3686" xr:uid="{00000000-0005-0000-0000-0000940E0000}"/>
    <cellStyle name="Input 10 5 2 2" xfId="3741" xr:uid="{00000000-0005-0000-0000-0000CB0E0000}"/>
    <cellStyle name="Input 10 5 2 3" xfId="3746" xr:uid="{00000000-0005-0000-0000-0000D00E0000}"/>
    <cellStyle name="Input 10 5 3 2" xfId="3765" xr:uid="{00000000-0005-0000-0000-0000E30E0000}"/>
    <cellStyle name="Input 10 6 2" xfId="857" xr:uid="{00000000-0005-0000-0000-000087030000}"/>
    <cellStyle name="Input 10 6 3" xfId="885" xr:uid="{00000000-0005-0000-0000-0000A3030000}"/>
    <cellStyle name="Input 10 6 4" xfId="902" xr:uid="{00000000-0005-0000-0000-0000B4030000}"/>
    <cellStyle name="Input 11 2 2 2" xfId="1187" xr:uid="{00000000-0005-0000-0000-0000D1040000}"/>
    <cellStyle name="Input 11 2 2 2 2" xfId="894" xr:uid="{00000000-0005-0000-0000-0000AC030000}"/>
    <cellStyle name="Input 11 2 2 4 2" xfId="1705" xr:uid="{00000000-0005-0000-0000-0000D7060000}"/>
    <cellStyle name="Input 11 2 2 6" xfId="1937" xr:uid="{00000000-0005-0000-0000-0000BF070000}"/>
    <cellStyle name="Input 11 2 2 8" xfId="4015" xr:uid="{00000000-0005-0000-0000-0000DD0F0000}"/>
    <cellStyle name="Input 11 2 2 9" xfId="2144" xr:uid="{00000000-0005-0000-0000-00008E080000}"/>
    <cellStyle name="Input 11 2 3" xfId="3198" xr:uid="{00000000-0005-0000-0000-0000AC0C0000}"/>
    <cellStyle name="Input 11 2 3 4 2" xfId="2748" xr:uid="{00000000-0005-0000-0000-0000EA0A0000}"/>
    <cellStyle name="Input 11 2 3 5" xfId="4" xr:uid="{00000000-0005-0000-0000-000005000000}"/>
    <cellStyle name="Input 11 2 3 6" xfId="1947" xr:uid="{00000000-0005-0000-0000-0000C9070000}"/>
    <cellStyle name="Input 11 2 4" xfId="1892" xr:uid="{00000000-0005-0000-0000-000092070000}"/>
    <cellStyle name="Input 11 2 4 4 2" xfId="2550" xr:uid="{00000000-0005-0000-0000-0000240A0000}"/>
    <cellStyle name="Input 11 2 4 6" xfId="1959" xr:uid="{00000000-0005-0000-0000-0000D5070000}"/>
    <cellStyle name="Input 11 2 6" xfId="978" xr:uid="{00000000-0005-0000-0000-000000040000}"/>
    <cellStyle name="Input 11 2 6 2" xfId="986" xr:uid="{00000000-0005-0000-0000-000008040000}"/>
    <cellStyle name="Input 11 2 7" xfId="1644" xr:uid="{00000000-0005-0000-0000-00009A060000}"/>
    <cellStyle name="Input 11 2 7 2" xfId="1651" xr:uid="{00000000-0005-0000-0000-0000A1060000}"/>
    <cellStyle name="Input 11 2 9" xfId="2783" xr:uid="{00000000-0005-0000-0000-00000D0B0000}"/>
    <cellStyle name="Input 11 3 2 2" xfId="674" xr:uid="{00000000-0005-0000-0000-0000D0020000}"/>
    <cellStyle name="Input 11 3 2 2 2" xfId="1222" xr:uid="{00000000-0005-0000-0000-0000F4040000}"/>
    <cellStyle name="Input 11 3 2 3 2" xfId="2767" xr:uid="{00000000-0005-0000-0000-0000FD0A0000}"/>
    <cellStyle name="Input 11 3 3" xfId="3218" xr:uid="{00000000-0005-0000-0000-0000C00C0000}"/>
    <cellStyle name="Input 11 3 3 3" xfId="485" xr:uid="{00000000-0005-0000-0000-000013020000}"/>
    <cellStyle name="Input 11 3 3 3 2" xfId="492" xr:uid="{00000000-0005-0000-0000-00001A020000}"/>
    <cellStyle name="Input 11 3 3 4" xfId="540" xr:uid="{00000000-0005-0000-0000-00004A020000}"/>
    <cellStyle name="Input 11 3 3 4 2" xfId="546" xr:uid="{00000000-0005-0000-0000-000050020000}"/>
    <cellStyle name="Input 11 3 3 5" xfId="619" xr:uid="{00000000-0005-0000-0000-000099020000}"/>
    <cellStyle name="Input 11 3 3 6" xfId="647" xr:uid="{00000000-0005-0000-0000-0000B5020000}"/>
    <cellStyle name="Input 11 3 4" xfId="2419" xr:uid="{00000000-0005-0000-0000-0000A1090000}"/>
    <cellStyle name="Input 11 3 4 3" xfId="1248" xr:uid="{00000000-0005-0000-0000-00000E050000}"/>
    <cellStyle name="Input 11 3 6" xfId="1669" xr:uid="{00000000-0005-0000-0000-0000B3060000}"/>
    <cellStyle name="Input 11 3 6 2" xfId="1673" xr:uid="{00000000-0005-0000-0000-0000B7060000}"/>
    <cellStyle name="Input 11 4 2 2" xfId="1242" xr:uid="{00000000-0005-0000-0000-000008050000}"/>
    <cellStyle name="Input 11 4 3" xfId="3228" xr:uid="{00000000-0005-0000-0000-0000CA0C0000}"/>
    <cellStyle name="Input 11 4 4" xfId="2427" xr:uid="{00000000-0005-0000-0000-0000A9090000}"/>
    <cellStyle name="Input 11 5 2 2" xfId="1286" xr:uid="{00000000-0005-0000-0000-000034050000}"/>
    <cellStyle name="Input 11 8 2" xfId="15" xr:uid="{00000000-0005-0000-0000-000013000000}"/>
    <cellStyle name="Input 11 8 3" xfId="1857" xr:uid="{00000000-0005-0000-0000-00006F070000}"/>
    <cellStyle name="Input 11 8 4" xfId="1868" xr:uid="{00000000-0005-0000-0000-00007A070000}"/>
    <cellStyle name="Input 11 9 2" xfId="1526" xr:uid="{00000000-0005-0000-0000-000024060000}"/>
    <cellStyle name="Input 12" xfId="1294" xr:uid="{00000000-0005-0000-0000-00003C050000}"/>
    <cellStyle name="Input 12 2 2" xfId="1781" xr:uid="{00000000-0005-0000-0000-000023070000}"/>
    <cellStyle name="Input 12 2 2 2" xfId="3540" xr:uid="{00000000-0005-0000-0000-0000020E0000}"/>
    <cellStyle name="Input 12 2 2 2 2 2" xfId="3613" xr:uid="{00000000-0005-0000-0000-00004B0E0000}"/>
    <cellStyle name="Input 12 2 2 2 3" xfId="1847" xr:uid="{00000000-0005-0000-0000-000065070000}"/>
    <cellStyle name="Input 12 2 2 2 3 2" xfId="2849" xr:uid="{00000000-0005-0000-0000-00004F0B0000}"/>
    <cellStyle name="Input 12 2 2 2 4" xfId="2852" xr:uid="{00000000-0005-0000-0000-0000520B0000}"/>
    <cellStyle name="Input 12 2 2 2 4 2" xfId="2857" xr:uid="{00000000-0005-0000-0000-0000570B0000}"/>
    <cellStyle name="Input 12 2 2 2 5" xfId="1104" xr:uid="{00000000-0005-0000-0000-00007E040000}"/>
    <cellStyle name="Input 12 2 2 2 6" xfId="2863" xr:uid="{00000000-0005-0000-0000-00005D0B0000}"/>
    <cellStyle name="Input 12 2 2 3" xfId="562" xr:uid="{00000000-0005-0000-0000-000060020000}"/>
    <cellStyle name="Input 12 2 2 3 3" xfId="622" xr:uid="{00000000-0005-0000-0000-00009C020000}"/>
    <cellStyle name="Input 12 2 2 3 4" xfId="650" xr:uid="{00000000-0005-0000-0000-0000B8020000}"/>
    <cellStyle name="Input 12 2 2 3 5" xfId="224" xr:uid="{00000000-0005-0000-0000-0000FD000000}"/>
    <cellStyle name="Input 12 2 2 3 6" xfId="853" xr:uid="{00000000-0005-0000-0000-000083030000}"/>
    <cellStyle name="Input 12 2 2 4 2" xfId="2712" xr:uid="{00000000-0005-0000-0000-0000C60A0000}"/>
    <cellStyle name="Input 12 2 3" xfId="3308" xr:uid="{00000000-0005-0000-0000-00001A0D0000}"/>
    <cellStyle name="Input 12 2 4" xfId="3543" xr:uid="{00000000-0005-0000-0000-0000050E0000}"/>
    <cellStyle name="Input 12 2 4 3" xfId="1" xr:uid="{00000000-0005-0000-0000-000002000000}"/>
    <cellStyle name="Input 12 2 4 3 2" xfId="166" xr:uid="{00000000-0005-0000-0000-0000BA000000}"/>
    <cellStyle name="Input 12 2 4 4 2" xfId="1138" xr:uid="{00000000-0005-0000-0000-0000A0040000}"/>
    <cellStyle name="Input 12 2 5" xfId="3953" xr:uid="{00000000-0005-0000-0000-00009F0F0000}"/>
    <cellStyle name="Input 12 2 6" xfId="133" xr:uid="{00000000-0005-0000-0000-000093000000}"/>
    <cellStyle name="Input 12 2 6 2" xfId="147" xr:uid="{00000000-0005-0000-0000-0000A4000000}"/>
    <cellStyle name="Input 12 2 7" xfId="1682" xr:uid="{00000000-0005-0000-0000-0000C0060000}"/>
    <cellStyle name="Input 12 2 7 2" xfId="1125" xr:uid="{00000000-0005-0000-0000-000093040000}"/>
    <cellStyle name="Input 12 3 2" xfId="3571" xr:uid="{00000000-0005-0000-0000-0000210E0000}"/>
    <cellStyle name="Input 12 3 2 3" xfId="406" xr:uid="{00000000-0005-0000-0000-0000C4010000}"/>
    <cellStyle name="Input 12 3 2 3 2" xfId="363" xr:uid="{00000000-0005-0000-0000-000099010000}"/>
    <cellStyle name="Input 12 3 3" xfId="3323" xr:uid="{00000000-0005-0000-0000-0000290D0000}"/>
    <cellStyle name="Input 12 3 3 3" xfId="334" xr:uid="{00000000-0005-0000-0000-00007C010000}"/>
    <cellStyle name="Input 12 3 3 3 2" xfId="1283" xr:uid="{00000000-0005-0000-0000-000031050000}"/>
    <cellStyle name="Input 12 3 4 3" xfId="1288" xr:uid="{00000000-0005-0000-0000-000036050000}"/>
    <cellStyle name="Input 12 3 6" xfId="788" xr:uid="{00000000-0005-0000-0000-000042030000}"/>
    <cellStyle name="Input 12 3 6 2" xfId="1686" xr:uid="{00000000-0005-0000-0000-0000C4060000}"/>
    <cellStyle name="Input 12 4 2" xfId="3969" xr:uid="{00000000-0005-0000-0000-0000AF0F0000}"/>
    <cellStyle name="Input 12 4 2 2" xfId="3722" xr:uid="{00000000-0005-0000-0000-0000B80E0000}"/>
    <cellStyle name="Input 12 4 3 2" xfId="3783" xr:uid="{00000000-0005-0000-0000-0000F50E0000}"/>
    <cellStyle name="Input 12 4 4 2" xfId="3870" xr:uid="{00000000-0005-0000-0000-00004C0F0000}"/>
    <cellStyle name="Input 12 7" xfId="1043" xr:uid="{00000000-0005-0000-0000-000041040000}"/>
    <cellStyle name="Input 12 8 2" xfId="3023" xr:uid="{00000000-0005-0000-0000-0000FD0B0000}"/>
    <cellStyle name="Input 12 8 3" xfId="753" xr:uid="{00000000-0005-0000-0000-00001F030000}"/>
    <cellStyle name="Input 12 8 4" xfId="772" xr:uid="{00000000-0005-0000-0000-000032030000}"/>
    <cellStyle name="Input 12 9 2" xfId="3051" xr:uid="{00000000-0005-0000-0000-0000190C0000}"/>
    <cellStyle name="Input 13 11" xfId="2016" xr:uid="{00000000-0005-0000-0000-00000E080000}"/>
    <cellStyle name="Input 13 12" xfId="2171" xr:uid="{00000000-0005-0000-0000-0000A9080000}"/>
    <cellStyle name="Input 13 13" xfId="2183" xr:uid="{00000000-0005-0000-0000-0000B5080000}"/>
    <cellStyle name="Input 13 2 2" xfId="2492" xr:uid="{00000000-0005-0000-0000-0000EA090000}"/>
    <cellStyle name="Input 13 2 2 2 6" xfId="630" xr:uid="{00000000-0005-0000-0000-0000A4020000}"/>
    <cellStyle name="Input 13 2 2 3 6" xfId="678" xr:uid="{00000000-0005-0000-0000-0000D4020000}"/>
    <cellStyle name="Input 13 2 4 2 2" xfId="1866" xr:uid="{00000000-0005-0000-0000-000078070000}"/>
    <cellStyle name="Input 13 2 4 3 2" xfId="1995" xr:uid="{00000000-0005-0000-0000-0000F9070000}"/>
    <cellStyle name="Input 13 2 4 5" xfId="3731" xr:uid="{00000000-0005-0000-0000-0000C10E0000}"/>
    <cellStyle name="Input 13 2 4 6" xfId="3734" xr:uid="{00000000-0005-0000-0000-0000C40E0000}"/>
    <cellStyle name="Input 13 2 5 3" xfId="948" xr:uid="{00000000-0005-0000-0000-0000E2030000}"/>
    <cellStyle name="Input 13 2 6" xfId="1102" xr:uid="{00000000-0005-0000-0000-00007C040000}"/>
    <cellStyle name="Input 13 2 6 2" xfId="1109" xr:uid="{00000000-0005-0000-0000-000083040000}"/>
    <cellStyle name="Input 13 2 7" xfId="1116" xr:uid="{00000000-0005-0000-0000-00008A040000}"/>
    <cellStyle name="Input 13 2 7 2" xfId="226" xr:uid="{00000000-0005-0000-0000-000000010000}"/>
    <cellStyle name="Input 13 2 8" xfId="1124" xr:uid="{00000000-0005-0000-0000-000092040000}"/>
    <cellStyle name="Input 13 3 2" xfId="2663" xr:uid="{00000000-0005-0000-0000-0000950A0000}"/>
    <cellStyle name="Input 13 3 2 3" xfId="250" xr:uid="{00000000-0005-0000-0000-00001C010000}"/>
    <cellStyle name="Input 13 3 3 3" xfId="1311" xr:uid="{00000000-0005-0000-0000-00004D050000}"/>
    <cellStyle name="Input 13 3 3 3 2" xfId="819" xr:uid="{00000000-0005-0000-0000-000061030000}"/>
    <cellStyle name="Input 13 3 4 3" xfId="582" xr:uid="{00000000-0005-0000-0000-000074020000}"/>
    <cellStyle name="Input 13 3 6" xfId="1698" xr:uid="{00000000-0005-0000-0000-0000D0060000}"/>
    <cellStyle name="Input 13 3 6 2" xfId="1702" xr:uid="{00000000-0005-0000-0000-0000D4060000}"/>
    <cellStyle name="Input 13 5 2 2" xfId="2200" xr:uid="{00000000-0005-0000-0000-0000C6080000}"/>
    <cellStyle name="Input 13 5 2 3" xfId="2212" xr:uid="{00000000-0005-0000-0000-0000D2080000}"/>
    <cellStyle name="Input 13 5 3 2" xfId="2464" xr:uid="{00000000-0005-0000-0000-0000CE090000}"/>
    <cellStyle name="Input 13 5 4 2" xfId="4033" xr:uid="{00000000-0005-0000-0000-0000EF0F0000}"/>
    <cellStyle name="Input 13 8 2" xfId="3203" xr:uid="{00000000-0005-0000-0000-0000B10C0000}"/>
    <cellStyle name="Input 13 8 3" xfId="3220" xr:uid="{00000000-0005-0000-0000-0000C20C0000}"/>
    <cellStyle name="Input 13 8 4" xfId="1198" xr:uid="{00000000-0005-0000-0000-0000DC040000}"/>
    <cellStyle name="Input 13 9 2" xfId="3319" xr:uid="{00000000-0005-0000-0000-0000250D0000}"/>
    <cellStyle name="Input 14 11" xfId="198" xr:uid="{00000000-0005-0000-0000-0000E0000000}"/>
    <cellStyle name="Input 14 12" xfId="2478" xr:uid="{00000000-0005-0000-0000-0000DC090000}"/>
    <cellStyle name="Input 14 2 2" xfId="2360" xr:uid="{00000000-0005-0000-0000-000066090000}"/>
    <cellStyle name="Input 14 2 2 2 4 2" xfId="2354" xr:uid="{00000000-0005-0000-0000-000060090000}"/>
    <cellStyle name="Input 14 2 4 3 2" xfId="1561" xr:uid="{00000000-0005-0000-0000-000047060000}"/>
    <cellStyle name="Input 14 9 2" xfId="1897" xr:uid="{00000000-0005-0000-0000-000097070000}"/>
    <cellStyle name="Input 15 2 2 2 2 2" xfId="2571" xr:uid="{00000000-0005-0000-0000-0000390A0000}"/>
    <cellStyle name="Input 15 3 2 2 2" xfId="191" xr:uid="{00000000-0005-0000-0000-0000D8000000}"/>
    <cellStyle name="Input 15 8 2" xfId="3289" xr:uid="{00000000-0005-0000-0000-0000070D0000}"/>
    <cellStyle name="Input 15 8 3" xfId="3527" xr:uid="{00000000-0005-0000-0000-0000F50D0000}"/>
    <cellStyle name="Input 15 8 4" xfId="3533" xr:uid="{00000000-0005-0000-0000-0000FB0D0000}"/>
    <cellStyle name="Input 15 9 2" xfId="3549" xr:uid="{00000000-0005-0000-0000-00000B0E0000}"/>
    <cellStyle name="Input 16 2 2 6" xfId="1379" xr:uid="{00000000-0005-0000-0000-000091050000}"/>
    <cellStyle name="Input 16 2 2 9" xfId="13" xr:uid="{00000000-0005-0000-0000-000011000000}"/>
    <cellStyle name="Input 16 2 3 6" xfId="1973" xr:uid="{00000000-0005-0000-0000-0000E3070000}"/>
    <cellStyle name="Input 16 2 4" xfId="2600" xr:uid="{00000000-0005-0000-0000-0000560A0000}"/>
    <cellStyle name="Input 16 2 4 6" xfId="2168" xr:uid="{00000000-0005-0000-0000-0000A6080000}"/>
    <cellStyle name="Input 16 3 2 2 2" xfId="2975" xr:uid="{00000000-0005-0000-0000-0000CD0B0000}"/>
    <cellStyle name="Input 16 3 4" xfId="2607" xr:uid="{00000000-0005-0000-0000-00005D0A0000}"/>
    <cellStyle name="Input 16 4" xfId="1455" xr:uid="{00000000-0005-0000-0000-0000DD050000}"/>
    <cellStyle name="Input 16 4 2" xfId="1462" xr:uid="{00000000-0005-0000-0000-0000E4050000}"/>
    <cellStyle name="Input 16 4 2 2" xfId="1466" xr:uid="{00000000-0005-0000-0000-0000E8050000}"/>
    <cellStyle name="Input 16 4 4" xfId="2613" xr:uid="{00000000-0005-0000-0000-0000630A0000}"/>
    <cellStyle name="Input 16 5" xfId="737" xr:uid="{00000000-0005-0000-0000-00000F030000}"/>
    <cellStyle name="Input 16 5 2" xfId="233" xr:uid="{00000000-0005-0000-0000-000008010000}"/>
    <cellStyle name="Input 16 8 2" xfId="2266" xr:uid="{00000000-0005-0000-0000-000008090000}"/>
    <cellStyle name="Input 16 8 3" xfId="2286" xr:uid="{00000000-0005-0000-0000-00001C090000}"/>
    <cellStyle name="Input 16 9 2" xfId="1213" xr:uid="{00000000-0005-0000-0000-0000EB040000}"/>
    <cellStyle name="Input 17 2 2 2 3" xfId="442" xr:uid="{00000000-0005-0000-0000-0000E8010000}"/>
    <cellStyle name="Input 17 2 2 2 3 2" xfId="456" xr:uid="{00000000-0005-0000-0000-0000F6010000}"/>
    <cellStyle name="Input 17 2 3 2 2" xfId="2834" xr:uid="{00000000-0005-0000-0000-0000400B0000}"/>
    <cellStyle name="Input 17 3 2 2 2" xfId="1232" xr:uid="{00000000-0005-0000-0000-0000FE040000}"/>
    <cellStyle name="Input 17 3 3 2 2" xfId="433" xr:uid="{00000000-0005-0000-0000-0000DF010000}"/>
    <cellStyle name="Input 17 4" xfId="240" xr:uid="{00000000-0005-0000-0000-000011010000}"/>
    <cellStyle name="Input 17 8 2" xfId="1490" xr:uid="{00000000-0005-0000-0000-000000060000}"/>
    <cellStyle name="Input 18 2 2 4" xfId="3974" xr:uid="{00000000-0005-0000-0000-0000B40F0000}"/>
    <cellStyle name="Input 18 2 3 2 2" xfId="1053" xr:uid="{00000000-0005-0000-0000-00004B040000}"/>
    <cellStyle name="Input 18 2 7" xfId="2105" xr:uid="{00000000-0005-0000-0000-000067080000}"/>
    <cellStyle name="Input 18 2 8" xfId="1761" xr:uid="{00000000-0005-0000-0000-00000F070000}"/>
    <cellStyle name="Input 18 2 9" xfId="2111" xr:uid="{00000000-0005-0000-0000-00006D080000}"/>
    <cellStyle name="Input 2 11" xfId="2720" xr:uid="{00000000-0005-0000-0000-0000CE0A0000}"/>
    <cellStyle name="Input 2 11 2" xfId="1126" xr:uid="{00000000-0005-0000-0000-000094040000}"/>
    <cellStyle name="Input 2 2 9" xfId="1580" xr:uid="{00000000-0005-0000-0000-00005A060000}"/>
    <cellStyle name="Input 2 3 9" xfId="1595" xr:uid="{00000000-0005-0000-0000-000069060000}"/>
    <cellStyle name="Input 2 4 9" xfId="1607" xr:uid="{00000000-0005-0000-0000-000075060000}"/>
    <cellStyle name="Input 2 6 2 3" xfId="181" xr:uid="{00000000-0005-0000-0000-0000CD000000}"/>
    <cellStyle name="Input 21 2 2 6" xfId="1378" xr:uid="{00000000-0005-0000-0000-000090050000}"/>
    <cellStyle name="Input 21 2 3 6" xfId="1972" xr:uid="{00000000-0005-0000-0000-0000E2070000}"/>
    <cellStyle name="Input 21 2 4" xfId="2601" xr:uid="{00000000-0005-0000-0000-0000570A0000}"/>
    <cellStyle name="Input 21 3 4" xfId="2608" xr:uid="{00000000-0005-0000-0000-00005E0A0000}"/>
    <cellStyle name="Input 21 4" xfId="1454" xr:uid="{00000000-0005-0000-0000-0000DC050000}"/>
    <cellStyle name="Input 21 4 2" xfId="1461" xr:uid="{00000000-0005-0000-0000-0000E3050000}"/>
    <cellStyle name="Input 21 4 2 2" xfId="1465" xr:uid="{00000000-0005-0000-0000-0000E7050000}"/>
    <cellStyle name="Input 21 4 4" xfId="2614" xr:uid="{00000000-0005-0000-0000-0000640A0000}"/>
    <cellStyle name="Input 21 5" xfId="738" xr:uid="{00000000-0005-0000-0000-000010030000}"/>
    <cellStyle name="Input 21 5 2" xfId="232" xr:uid="{00000000-0005-0000-0000-000007010000}"/>
    <cellStyle name="Input 22 2 3 2 2" xfId="2835" xr:uid="{00000000-0005-0000-0000-0000410B0000}"/>
    <cellStyle name="Input 22 4" xfId="239" xr:uid="{00000000-0005-0000-0000-000010010000}"/>
    <cellStyle name="Input 23 2 2 4" xfId="3975" xr:uid="{00000000-0005-0000-0000-0000B50F0000}"/>
    <cellStyle name="Input 23 2 3 2 2" xfId="1052" xr:uid="{00000000-0005-0000-0000-00004A040000}"/>
    <cellStyle name="Input 23 2 7" xfId="2106" xr:uid="{00000000-0005-0000-0000-000068080000}"/>
    <cellStyle name="Input 23 2 8" xfId="1760" xr:uid="{00000000-0005-0000-0000-00000E070000}"/>
    <cellStyle name="Input 23 2 9" xfId="2112" xr:uid="{00000000-0005-0000-0000-00006E080000}"/>
    <cellStyle name="Input 23 2 9 2" xfId="2120" xr:uid="{00000000-0005-0000-0000-000076080000}"/>
    <cellStyle name="Input 26 2 4" xfId="565" xr:uid="{00000000-0005-0000-0000-000063020000}"/>
    <cellStyle name="Input 26 3 4" xfId="308" xr:uid="{00000000-0005-0000-0000-000060010000}"/>
    <cellStyle name="Input 26 5 2" xfId="2799" xr:uid="{00000000-0005-0000-0000-00001D0B0000}"/>
    <cellStyle name="Input 26 6 2" xfId="3101" xr:uid="{00000000-0005-0000-0000-00004B0C0000}"/>
    <cellStyle name="Input 28 6 2" xfId="3139" xr:uid="{00000000-0005-0000-0000-0000710C0000}"/>
    <cellStyle name="Input 31 2 4" xfId="566" xr:uid="{00000000-0005-0000-0000-000064020000}"/>
    <cellStyle name="Input 31 3 4" xfId="307" xr:uid="{00000000-0005-0000-0000-00005F010000}"/>
    <cellStyle name="Input 31 5 2" xfId="2800" xr:uid="{00000000-0005-0000-0000-00001E0B0000}"/>
    <cellStyle name="Input 31 6 2" xfId="3102" xr:uid="{00000000-0005-0000-0000-00004C0C0000}"/>
    <cellStyle name="Input 33 6 2" xfId="3140" xr:uid="{00000000-0005-0000-0000-0000720C0000}"/>
    <cellStyle name="Input 4 2 2 2 2" xfId="3674" xr:uid="{00000000-0005-0000-0000-0000880E0000}"/>
    <cellStyle name="Input 4 2 2 2 3" xfId="2362" xr:uid="{00000000-0005-0000-0000-000068090000}"/>
    <cellStyle name="Input 4 2 2 2 4 2" xfId="2736" xr:uid="{00000000-0005-0000-0000-0000DE0A0000}"/>
    <cellStyle name="Input 4 2 2 3 2" xfId="3700" xr:uid="{00000000-0005-0000-0000-0000A20E0000}"/>
    <cellStyle name="Input 4 2 2 3 3" xfId="2370" xr:uid="{00000000-0005-0000-0000-000070090000}"/>
    <cellStyle name="Input 4 3 3 2" xfId="71" xr:uid="{00000000-0005-0000-0000-000050000000}"/>
    <cellStyle name="Input 47" xfId="91" xr:uid="{00000000-0005-0000-0000-000065000000}"/>
    <cellStyle name="Input 47 2" xfId="1732" xr:uid="{00000000-0005-0000-0000-0000F2060000}"/>
    <cellStyle name="Input 52" xfId="90" xr:uid="{00000000-0005-0000-0000-000064000000}"/>
    <cellStyle name="Input 52 2" xfId="1731" xr:uid="{00000000-0005-0000-0000-0000F1060000}"/>
    <cellStyle name="Input 6 2 2" xfId="2150" xr:uid="{00000000-0005-0000-0000-000094080000}"/>
    <cellStyle name="Input 6 2 2 2" xfId="2054" xr:uid="{00000000-0005-0000-0000-000034080000}"/>
    <cellStyle name="Input 6 2 2 9" xfId="919" xr:uid="{00000000-0005-0000-0000-0000C5030000}"/>
    <cellStyle name="Input 6 2 3" xfId="596" xr:uid="{00000000-0005-0000-0000-000082020000}"/>
    <cellStyle name="Input 6 2 4" xfId="2156" xr:uid="{00000000-0005-0000-0000-00009A080000}"/>
    <cellStyle name="Input 6 2 5" xfId="184" xr:uid="{00000000-0005-0000-0000-0000D0000000}"/>
    <cellStyle name="Input 6 2 6 2" xfId="3401" xr:uid="{00000000-0005-0000-0000-0000770D0000}"/>
    <cellStyle name="Input 6 2 7 2" xfId="3440" xr:uid="{00000000-0005-0000-0000-00009E0D0000}"/>
    <cellStyle name="Input 6 2 8" xfId="579" xr:uid="{00000000-0005-0000-0000-000071020000}"/>
    <cellStyle name="Input 6 3 2" xfId="3032" xr:uid="{00000000-0005-0000-0000-0000060C0000}"/>
    <cellStyle name="Input 6 3 2 2" xfId="872" xr:uid="{00000000-0005-0000-0000-000096030000}"/>
    <cellStyle name="Input 6 3 2 2 2" xfId="1668" xr:uid="{00000000-0005-0000-0000-0000B2060000}"/>
    <cellStyle name="Input 6 3 2 3" xfId="880" xr:uid="{00000000-0005-0000-0000-00009E030000}"/>
    <cellStyle name="Input 6 3 3" xfId="3036" xr:uid="{00000000-0005-0000-0000-00000A0C0000}"/>
    <cellStyle name="Input 6 3 3 2" xfId="97" xr:uid="{00000000-0005-0000-0000-00006B000000}"/>
    <cellStyle name="Input 6 3 3 2 2" xfId="789" xr:uid="{00000000-0005-0000-0000-000043030000}"/>
    <cellStyle name="Input 6 3 3 3" xfId="1590" xr:uid="{00000000-0005-0000-0000-000064060000}"/>
    <cellStyle name="Input 6 3 4" xfId="3041" xr:uid="{00000000-0005-0000-0000-00000F0C0000}"/>
    <cellStyle name="Input 6 3 4 2" xfId="452" xr:uid="{00000000-0005-0000-0000-0000F2010000}"/>
    <cellStyle name="Input 6 3 4 3" xfId="1714" xr:uid="{00000000-0005-0000-0000-0000E0060000}"/>
    <cellStyle name="Input 6 3 5" xfId="1474" xr:uid="{00000000-0005-0000-0000-0000F0050000}"/>
    <cellStyle name="Input 6 3 5 2" xfId="1493" xr:uid="{00000000-0005-0000-0000-000003060000}"/>
    <cellStyle name="Input 6 3 6 2" xfId="1519" xr:uid="{00000000-0005-0000-0000-00001D060000}"/>
    <cellStyle name="Input 7 10" xfId="1096" xr:uid="{00000000-0005-0000-0000-000076040000}"/>
    <cellStyle name="Input 7 2 2 2" xfId="3994" xr:uid="{00000000-0005-0000-0000-0000C80F0000}"/>
    <cellStyle name="Input 7 2 2 2 2" xfId="3996" xr:uid="{00000000-0005-0000-0000-0000CA0F0000}"/>
    <cellStyle name="Input 7 2 2 2 2 2" xfId="4001" xr:uid="{00000000-0005-0000-0000-0000CF0F0000}"/>
    <cellStyle name="Input 7 2 2 2 3" xfId="2913" xr:uid="{00000000-0005-0000-0000-00008F0B0000}"/>
    <cellStyle name="Input 7 2 2 2 3 2" xfId="4018" xr:uid="{00000000-0005-0000-0000-0000E00F0000}"/>
    <cellStyle name="Input 7 2 2 2 4" xfId="371" xr:uid="{00000000-0005-0000-0000-0000A1010000}"/>
    <cellStyle name="Input 7 2 2 2 4 2" xfId="2037" xr:uid="{00000000-0005-0000-0000-000023080000}"/>
    <cellStyle name="Input 7 2 2 2 5" xfId="2619" xr:uid="{00000000-0005-0000-0000-0000690A0000}"/>
    <cellStyle name="Input 7 2 2 2 6" xfId="4031" xr:uid="{00000000-0005-0000-0000-0000ED0F0000}"/>
    <cellStyle name="Input 7 2 2 3" xfId="4041" xr:uid="{00000000-0005-0000-0000-0000F70F0000}"/>
    <cellStyle name="Input 7 2 2 3 2" xfId="4043" xr:uid="{00000000-0005-0000-0000-0000F90F0000}"/>
    <cellStyle name="Input 7 2 2 3 2 2" xfId="945" xr:uid="{00000000-0005-0000-0000-0000DF030000}"/>
    <cellStyle name="Input 7 2 2 3 3" xfId="2918" xr:uid="{00000000-0005-0000-0000-0000940B0000}"/>
    <cellStyle name="Input 7 2 2 3 3 2" xfId="4045" xr:uid="{00000000-0005-0000-0000-0000FB0F0000}"/>
    <cellStyle name="Input 7 2 2 3 4" xfId="157" xr:uid="{00000000-0005-0000-0000-0000AF000000}"/>
    <cellStyle name="Input 7 2 2 3 4 2" xfId="842" xr:uid="{00000000-0005-0000-0000-000078030000}"/>
    <cellStyle name="Input 7 2 2 3 5" xfId="107" xr:uid="{00000000-0005-0000-0000-000076000000}"/>
    <cellStyle name="Input 7 2 2 3 6" xfId="45" xr:uid="{00000000-0005-0000-0000-000034000000}"/>
    <cellStyle name="Input 7 2 2 4" xfId="711" xr:uid="{00000000-0005-0000-0000-0000F5020000}"/>
    <cellStyle name="Input 7 2 2 4 2" xfId="718" xr:uid="{00000000-0005-0000-0000-0000FC020000}"/>
    <cellStyle name="Input 7 2 2 5" xfId="4057" xr:uid="{00000000-0005-0000-0000-000007100000}"/>
    <cellStyle name="Input 7 2 2 5 2" xfId="4060" xr:uid="{00000000-0005-0000-0000-00000A100000}"/>
    <cellStyle name="Input 7 2 2 6" xfId="4062" xr:uid="{00000000-0005-0000-0000-00000C100000}"/>
    <cellStyle name="Input 7 2 2 6 2" xfId="4067" xr:uid="{00000000-0005-0000-0000-000011100000}"/>
    <cellStyle name="Input 7 2 7 2" xfId="2551" xr:uid="{00000000-0005-0000-0000-0000250A0000}"/>
    <cellStyle name="Input 7 2 9" xfId="1958" xr:uid="{00000000-0005-0000-0000-0000D4070000}"/>
    <cellStyle name="Input 7 3" xfId="1337" xr:uid="{00000000-0005-0000-0000-000067050000}"/>
    <cellStyle name="Input 7 3 9" xfId="1964" xr:uid="{00000000-0005-0000-0000-0000DA070000}"/>
    <cellStyle name="Input 7 6" xfId="1355" xr:uid="{00000000-0005-0000-0000-000079050000}"/>
    <cellStyle name="Input 7 6 2" xfId="896" xr:uid="{00000000-0005-0000-0000-0000AE030000}"/>
    <cellStyle name="Input 7 7" xfId="1056" xr:uid="{00000000-0005-0000-0000-00004E040000}"/>
    <cellStyle name="Input 7 7 2" xfId="1064" xr:uid="{00000000-0005-0000-0000-000056040000}"/>
    <cellStyle name="Input 8 10" xfId="1579" xr:uid="{00000000-0005-0000-0000-000059060000}"/>
    <cellStyle name="Input 8 10 2" xfId="1592" xr:uid="{00000000-0005-0000-0000-000066060000}"/>
    <cellStyle name="Input 8 2 4" xfId="980" xr:uid="{00000000-0005-0000-0000-000002040000}"/>
    <cellStyle name="Input 8 2 4 2" xfId="988" xr:uid="{00000000-0005-0000-0000-00000A040000}"/>
    <cellStyle name="Input 8 2 6" xfId="1247" xr:uid="{00000000-0005-0000-0000-00000D050000}"/>
    <cellStyle name="Input 8 3" xfId="518" xr:uid="{00000000-0005-0000-0000-000034020000}"/>
    <cellStyle name="Input 9" xfId="623" xr:uid="{00000000-0005-0000-0000-00009D020000}"/>
    <cellStyle name="Input 9 10" xfId="1634" xr:uid="{00000000-0005-0000-0000-000090060000}"/>
    <cellStyle name="Input 9 10 2" xfId="1637" xr:uid="{00000000-0005-0000-0000-000093060000}"/>
    <cellStyle name="Input 9 3" xfId="631" xr:uid="{00000000-0005-0000-0000-0000A5020000}"/>
    <cellStyle name="Input 9 3 2 2 2" xfId="949" xr:uid="{00000000-0005-0000-0000-0000E3030000}"/>
    <cellStyle name="Input 9 3 3" xfId="716" xr:uid="{00000000-0005-0000-0000-0000FA020000}"/>
    <cellStyle name="Input 9 3 3 2" xfId="721" xr:uid="{00000000-0005-0000-0000-0000FF020000}"/>
    <cellStyle name="Input 9 3 4 3" xfId="197" xr:uid="{00000000-0005-0000-0000-0000DF000000}"/>
    <cellStyle name="Note 10 2" xfId="353" xr:uid="{00000000-0005-0000-0000-00008F010000}"/>
    <cellStyle name="Note 10 2 2" xfId="3199" xr:uid="{00000000-0005-0000-0000-0000AD0C0000}"/>
    <cellStyle name="Note 10 2 2 9" xfId="2055" xr:uid="{00000000-0005-0000-0000-000035080000}"/>
    <cellStyle name="Note 10 2 8" xfId="2784" xr:uid="{00000000-0005-0000-0000-00000E0B0000}"/>
    <cellStyle name="Note 10 3" xfId="3207" xr:uid="{00000000-0005-0000-0000-0000B50C0000}"/>
    <cellStyle name="Note 10 4" xfId="3223" xr:uid="{00000000-0005-0000-0000-0000C50C0000}"/>
    <cellStyle name="Note 10 5" xfId="1193" xr:uid="{00000000-0005-0000-0000-0000D7040000}"/>
    <cellStyle name="Note 11 2" xfId="3297" xr:uid="{00000000-0005-0000-0000-00000F0D0000}"/>
    <cellStyle name="Note 11 2 2" xfId="3309" xr:uid="{00000000-0005-0000-0000-00001B0D0000}"/>
    <cellStyle name="Note 11 2 2 2 4" xfId="2901" xr:uid="{00000000-0005-0000-0000-0000830B0000}"/>
    <cellStyle name="Note 11 2 2 2 5" xfId="3464" xr:uid="{00000000-0005-0000-0000-0000B60D0000}"/>
    <cellStyle name="Note 11 2 2 2 6" xfId="964" xr:uid="{00000000-0005-0000-0000-0000F2030000}"/>
    <cellStyle name="Note 11 2 2 3 5" xfId="3471" xr:uid="{00000000-0005-0000-0000-0000BD0D0000}"/>
    <cellStyle name="Note 11 2 5 2" xfId="146" xr:uid="{00000000-0005-0000-0000-0000A3000000}"/>
    <cellStyle name="Note 11 3" xfId="3314" xr:uid="{00000000-0005-0000-0000-0000200D0000}"/>
    <cellStyle name="Note 11 3 2 3" xfId="333" xr:uid="{00000000-0005-0000-0000-00007B010000}"/>
    <cellStyle name="Note 11 3 3 2 2" xfId="943" xr:uid="{00000000-0005-0000-0000-0000DD030000}"/>
    <cellStyle name="Note 11 4" xfId="3331" xr:uid="{00000000-0005-0000-0000-0000310D0000}"/>
    <cellStyle name="Note 11 5" xfId="3334" xr:uid="{00000000-0005-0000-0000-0000340D0000}"/>
    <cellStyle name="Note 14 2 9" xfId="3501" xr:uid="{00000000-0005-0000-0000-0000DB0D0000}"/>
    <cellStyle name="Note 2 2 10" xfId="193" xr:uid="{00000000-0005-0000-0000-0000DA000000}"/>
    <cellStyle name="Note 2 2 2 3" xfId="1678" xr:uid="{00000000-0005-0000-0000-0000BC060000}"/>
    <cellStyle name="Note 2 2 2 4" xfId="4084" xr:uid="{00000000-0005-0000-0000-000022100000}"/>
    <cellStyle name="Note 2 2 2 8" xfId="2384" xr:uid="{00000000-0005-0000-0000-00007E090000}"/>
    <cellStyle name="Note 2 2 4 3 2" xfId="699" xr:uid="{00000000-0005-0000-0000-0000E9020000}"/>
    <cellStyle name="Note 2 3 2 3 2" xfId="3536" xr:uid="{00000000-0005-0000-0000-0000FE0D0000}"/>
    <cellStyle name="Note 2 3 3 2 2" xfId="2793" xr:uid="{00000000-0005-0000-0000-0000170B0000}"/>
    <cellStyle name="Note 2 4" xfId="249" xr:uid="{00000000-0005-0000-0000-00001B010000}"/>
    <cellStyle name="Note 2 4 2 4 2" xfId="5" xr:uid="{00000000-0005-0000-0000-000007000000}"/>
    <cellStyle name="Note 2 5 4 2" xfId="1767" xr:uid="{00000000-0005-0000-0000-000015070000}"/>
    <cellStyle name="Note 3 2 2 2 3" xfId="2256" xr:uid="{00000000-0005-0000-0000-0000FE080000}"/>
    <cellStyle name="Note 3 2 2 2 3 2" xfId="2108" xr:uid="{00000000-0005-0000-0000-00006A080000}"/>
    <cellStyle name="Note 3 2 2 2 4" xfId="1764" xr:uid="{00000000-0005-0000-0000-000012070000}"/>
    <cellStyle name="Note 3 2 2 2 4 2" xfId="214" xr:uid="{00000000-0005-0000-0000-0000F3000000}"/>
    <cellStyle name="Note 3 2 2 2 5" xfId="2116" xr:uid="{00000000-0005-0000-0000-000072080000}"/>
    <cellStyle name="Note 3 2 2 2 6" xfId="2095" xr:uid="{00000000-0005-0000-0000-00005D080000}"/>
    <cellStyle name="Note 3 2 2 3 3" xfId="2275" xr:uid="{00000000-0005-0000-0000-000011090000}"/>
    <cellStyle name="Note 3 2 2 3 3 2" xfId="3058" xr:uid="{00000000-0005-0000-0000-0000200C0000}"/>
    <cellStyle name="Note 3 2 2 3 4" xfId="3063" xr:uid="{00000000-0005-0000-0000-0000250C0000}"/>
    <cellStyle name="Note 3 2 2 3 4 2" xfId="3067" xr:uid="{00000000-0005-0000-0000-0000290C0000}"/>
    <cellStyle name="Note 3 2 2 3 5" xfId="218" xr:uid="{00000000-0005-0000-0000-0000F7000000}"/>
    <cellStyle name="Note 3 2 2 3 6" xfId="3075" xr:uid="{00000000-0005-0000-0000-0000310C0000}"/>
    <cellStyle name="Note 3 3 4 2" xfId="781" xr:uid="{00000000-0005-0000-0000-00003B030000}"/>
    <cellStyle name="Note 3 4" xfId="1310" xr:uid="{00000000-0005-0000-0000-00004C050000}"/>
    <cellStyle name="Note 3 4 2" xfId="820" xr:uid="{00000000-0005-0000-0000-000062030000}"/>
    <cellStyle name="Note 4 2 2 5 2" xfId="3646" xr:uid="{00000000-0005-0000-0000-00006C0E0000}"/>
    <cellStyle name="Note 4 4" xfId="583" xr:uid="{00000000-0005-0000-0000-000075020000}"/>
    <cellStyle name="Note 4 6" xfId="3794" xr:uid="{00000000-0005-0000-0000-0000000F0000}"/>
    <cellStyle name="Note 4 6 2" xfId="3798" xr:uid="{00000000-0005-0000-0000-0000040F0000}"/>
    <cellStyle name="Note 4 7" xfId="3804" xr:uid="{00000000-0005-0000-0000-00000A0F0000}"/>
    <cellStyle name="Note 4 7 2" xfId="3808" xr:uid="{00000000-0005-0000-0000-00000E0F0000}"/>
    <cellStyle name="Note 4 8" xfId="3491" xr:uid="{00000000-0005-0000-0000-0000D10D0000}"/>
    <cellStyle name="Note 4 8 2" xfId="3812" xr:uid="{00000000-0005-0000-0000-0000120F0000}"/>
    <cellStyle name="Note 4 9" xfId="1656" xr:uid="{00000000-0005-0000-0000-0000A6060000}"/>
    <cellStyle name="Note 5 2 5 2" xfId="7" xr:uid="{00000000-0005-0000-0000-00000A000000}"/>
    <cellStyle name="Note 5 6" xfId="3821" xr:uid="{00000000-0005-0000-0000-00001B0F0000}"/>
    <cellStyle name="Note 5 6 2" xfId="3824" xr:uid="{00000000-0005-0000-0000-00001E0F0000}"/>
    <cellStyle name="Note 5 7" xfId="3826" xr:uid="{00000000-0005-0000-0000-0000200F0000}"/>
    <cellStyle name="Note 5 7 2" xfId="2717" xr:uid="{00000000-0005-0000-0000-0000CB0A0000}"/>
    <cellStyle name="Note 5 8" xfId="3831" xr:uid="{00000000-0005-0000-0000-0000250F0000}"/>
    <cellStyle name="Note 5 8 2" xfId="3835" xr:uid="{00000000-0005-0000-0000-0000290F0000}"/>
    <cellStyle name="Note 5 9" xfId="3838" xr:uid="{00000000-0005-0000-0000-00002C0F0000}"/>
    <cellStyle name="Note 6 2 4" xfId="557" xr:uid="{00000000-0005-0000-0000-00005B020000}"/>
    <cellStyle name="Note 6 3" xfId="1701" xr:uid="{00000000-0005-0000-0000-0000D3060000}"/>
    <cellStyle name="Note 6 3 2 4 2" xfId="393" xr:uid="{00000000-0005-0000-0000-0000B7010000}"/>
    <cellStyle name="Note 6 3 3 4 2" xfId="996" xr:uid="{00000000-0005-0000-0000-000012040000}"/>
    <cellStyle name="Note 6 3 9" xfId="3574" xr:uid="{00000000-0005-0000-0000-0000240E0000}"/>
    <cellStyle name="Note 6 6" xfId="3841" xr:uid="{00000000-0005-0000-0000-00002F0F0000}"/>
    <cellStyle name="Note 6 7" xfId="3845" xr:uid="{00000000-0005-0000-0000-0000330F0000}"/>
    <cellStyle name="Note 7 2 2 2" xfId="2174" xr:uid="{00000000-0005-0000-0000-0000AC080000}"/>
    <cellStyle name="Note 7 2 2 2 2" xfId="1909" xr:uid="{00000000-0005-0000-0000-0000A3070000}"/>
    <cellStyle name="Note 7 2 2 3" xfId="2187" xr:uid="{00000000-0005-0000-0000-0000B9080000}"/>
    <cellStyle name="Note 7 2 2 3 2" xfId="2196" xr:uid="{00000000-0005-0000-0000-0000C2080000}"/>
    <cellStyle name="Note 7 2 2 3 6" xfId="238" xr:uid="{00000000-0005-0000-0000-00000E010000}"/>
    <cellStyle name="Note 7 2 2 4" xfId="2203" xr:uid="{00000000-0005-0000-0000-0000C9080000}"/>
    <cellStyle name="Note 7 2 2 5" xfId="2218" xr:uid="{00000000-0005-0000-0000-0000D8080000}"/>
    <cellStyle name="Note 7 2 2 6" xfId="2228" xr:uid="{00000000-0005-0000-0000-0000E2080000}"/>
    <cellStyle name="Note 7 2 3 2" xfId="2436" xr:uid="{00000000-0005-0000-0000-0000B2090000}"/>
    <cellStyle name="Note 7 2 3 2 2" xfId="160" xr:uid="{00000000-0005-0000-0000-0000B3000000}"/>
    <cellStyle name="Note 7 2 3 3" xfId="2452" xr:uid="{00000000-0005-0000-0000-0000C2090000}"/>
    <cellStyle name="Note 7 2 3 3 2" xfId="2074" xr:uid="{00000000-0005-0000-0000-000048080000}"/>
    <cellStyle name="Note 7 2 3 4" xfId="2461" xr:uid="{00000000-0005-0000-0000-0000CB090000}"/>
    <cellStyle name="Note 7 2 3 5" xfId="77" xr:uid="{00000000-0005-0000-0000-000057000000}"/>
    <cellStyle name="Note 7 2 3 6" xfId="2484" xr:uid="{00000000-0005-0000-0000-0000E2090000}"/>
    <cellStyle name="Note 7 2 4" xfId="420" xr:uid="{00000000-0005-0000-0000-0000D2010000}"/>
    <cellStyle name="Note 7 2 4 2" xfId="366" xr:uid="{00000000-0005-0000-0000-00009C010000}"/>
    <cellStyle name="Note 7 2 4 3" xfId="2623" xr:uid="{00000000-0005-0000-0000-00006D0A0000}"/>
    <cellStyle name="Note 7 2 5 2" xfId="150" xr:uid="{00000000-0005-0000-0000-0000A8000000}"/>
    <cellStyle name="Note 7 2 6 2" xfId="2064" xr:uid="{00000000-0005-0000-0000-00003E080000}"/>
    <cellStyle name="Note 7 3 2 2" xfId="3064" xr:uid="{00000000-0005-0000-0000-0000260C0000}"/>
    <cellStyle name="Note 7 3 2 2 2" xfId="3068" xr:uid="{00000000-0005-0000-0000-00002A0C0000}"/>
    <cellStyle name="Note 7 3 2 3" xfId="217" xr:uid="{00000000-0005-0000-0000-0000F6000000}"/>
    <cellStyle name="Note 7 3 2 3 2" xfId="3072" xr:uid="{00000000-0005-0000-0000-00002E0C0000}"/>
    <cellStyle name="Note 7 3 2 4" xfId="3076" xr:uid="{00000000-0005-0000-0000-0000320C0000}"/>
    <cellStyle name="Note 7 3 2 5" xfId="3079" xr:uid="{00000000-0005-0000-0000-0000350C0000}"/>
    <cellStyle name="Note 7 3 2 6" xfId="3081" xr:uid="{00000000-0005-0000-0000-0000370C0000}"/>
    <cellStyle name="Note 7 3 3 2" xfId="3085" xr:uid="{00000000-0005-0000-0000-00003B0C0000}"/>
    <cellStyle name="Note 7 3 3 2 2" xfId="2566" xr:uid="{00000000-0005-0000-0000-0000340A0000}"/>
    <cellStyle name="Note 7 3 3 3" xfId="2121" xr:uid="{00000000-0005-0000-0000-000077080000}"/>
    <cellStyle name="Note 7 3 3 3 2" xfId="2311" xr:uid="{00000000-0005-0000-0000-000035090000}"/>
    <cellStyle name="Note 7 3 3 4" xfId="3091" xr:uid="{00000000-0005-0000-0000-0000410C0000}"/>
    <cellStyle name="Note 7 3 3 4 2" xfId="2955" xr:uid="{00000000-0005-0000-0000-0000B90B0000}"/>
    <cellStyle name="Note 7 3 3 5" xfId="1503" xr:uid="{00000000-0005-0000-0000-00000D060000}"/>
    <cellStyle name="Note 7 3 3 6" xfId="2351" xr:uid="{00000000-0005-0000-0000-00005D090000}"/>
    <cellStyle name="Note 7 3 4 2" xfId="3097" xr:uid="{00000000-0005-0000-0000-0000470C0000}"/>
    <cellStyle name="Note 7 3 5 2" xfId="2033" xr:uid="{00000000-0005-0000-0000-00001F080000}"/>
    <cellStyle name="Note 7 3 6 2" xfId="2634" xr:uid="{00000000-0005-0000-0000-0000780A0000}"/>
    <cellStyle name="Note 7 3 9" xfId="2666" xr:uid="{00000000-0005-0000-0000-0000980A0000}"/>
    <cellStyle name="Note 7 4 2 2" xfId="2821" xr:uid="{00000000-0005-0000-0000-0000330B0000}"/>
    <cellStyle name="Note 7 4 2 3" xfId="30" xr:uid="{00000000-0005-0000-0000-000024000000}"/>
    <cellStyle name="Note 7 4 3 2" xfId="954" xr:uid="{00000000-0005-0000-0000-0000E8030000}"/>
    <cellStyle name="Note 7 4 4 2" xfId="2864" xr:uid="{00000000-0005-0000-0000-00005E0B0000}"/>
    <cellStyle name="Note 7 5 2 2" xfId="590" xr:uid="{00000000-0005-0000-0000-00007C020000}"/>
    <cellStyle name="Note 7 5 3 2" xfId="2895" xr:uid="{00000000-0005-0000-0000-00007D0B0000}"/>
    <cellStyle name="Note 7 6" xfId="3854" xr:uid="{00000000-0005-0000-0000-00003C0F0000}"/>
    <cellStyle name="Note 8 2 3" xfId="1928" xr:uid="{00000000-0005-0000-0000-0000B6070000}"/>
    <cellStyle name="Note 8 2 4" xfId="830" xr:uid="{00000000-0005-0000-0000-00006C030000}"/>
    <cellStyle name="Note 8 2 4 2" xfId="2303" xr:uid="{00000000-0005-0000-0000-00002D090000}"/>
    <cellStyle name="Note 8 2 5" xfId="4002" xr:uid="{00000000-0005-0000-0000-0000D00F0000}"/>
    <cellStyle name="Note 8 2 5 2" xfId="4009" xr:uid="{00000000-0005-0000-0000-0000D70F0000}"/>
    <cellStyle name="Note 8 2 6" xfId="2127" xr:uid="{00000000-0005-0000-0000-00007D080000}"/>
    <cellStyle name="Note 8 2 7" xfId="3658" xr:uid="{00000000-0005-0000-0000-0000780E0000}"/>
    <cellStyle name="Note 8 3 3" xfId="1939" xr:uid="{00000000-0005-0000-0000-0000C1070000}"/>
    <cellStyle name="Note 8 3 3 4 2" xfId="1616" xr:uid="{00000000-0005-0000-0000-00007E060000}"/>
    <cellStyle name="Note 8 3 5" xfId="4019" xr:uid="{00000000-0005-0000-0000-0000E10F0000}"/>
    <cellStyle name="Note 8 3 5 2" xfId="4024" xr:uid="{00000000-0005-0000-0000-0000E60F0000}"/>
    <cellStyle name="Note 8 3 6" xfId="2139" xr:uid="{00000000-0005-0000-0000-000089080000}"/>
    <cellStyle name="Note 8 3 7" xfId="3692" xr:uid="{00000000-0005-0000-0000-00009A0E0000}"/>
    <cellStyle name="Note 8 3 9" xfId="2371" xr:uid="{00000000-0005-0000-0000-000071090000}"/>
    <cellStyle name="Note 8 4 3" xfId="1949" xr:uid="{00000000-0005-0000-0000-0000CB070000}"/>
    <cellStyle name="Note 8 5 3" xfId="1955" xr:uid="{00000000-0005-0000-0000-0000D1070000}"/>
    <cellStyle name="Note 8 6" xfId="3862" xr:uid="{00000000-0005-0000-0000-0000440F0000}"/>
    <cellStyle name="Note 8 6 3" xfId="1966" xr:uid="{00000000-0005-0000-0000-0000DC070000}"/>
    <cellStyle name="Note 9 2 2 2 5" xfId="2335" xr:uid="{00000000-0005-0000-0000-00004D090000}"/>
    <cellStyle name="Note 9 2 2 3 5" xfId="3680" xr:uid="{00000000-0005-0000-0000-00008E0E0000}"/>
    <cellStyle name="Note 9 2 4" xfId="2535" xr:uid="{00000000-0005-0000-0000-0000150A0000}"/>
    <cellStyle name="Note 9 4 3" xfId="645" xr:uid="{00000000-0005-0000-0000-0000B3020000}"/>
    <cellStyle name="Note 9 4 5" xfId="843" xr:uid="{00000000-0005-0000-0000-000079030000}"/>
    <cellStyle name="Note 9 4 6" xfId="868" xr:uid="{00000000-0005-0000-0000-000092030000}"/>
    <cellStyle name="Note 9 4 7" xfId="877" xr:uid="{00000000-0005-0000-0000-00009B030000}"/>
    <cellStyle name="Note 9 5 5" xfId="1263" xr:uid="{00000000-0005-0000-0000-00001D050000}"/>
    <cellStyle name="Note 9 5 6" xfId="100" xr:uid="{00000000-0005-0000-0000-00006F000000}"/>
    <cellStyle name="Note 9 5 7" xfId="1588" xr:uid="{00000000-0005-0000-0000-000062060000}"/>
    <cellStyle name="Output 10 2 2 2 6" xfId="3405" xr:uid="{00000000-0005-0000-0000-00007B0D0000}"/>
    <cellStyle name="Output 10 2 2 3" xfId="775" xr:uid="{00000000-0005-0000-0000-000035030000}"/>
    <cellStyle name="Output 10 2 2 4" xfId="783" xr:uid="{00000000-0005-0000-0000-00003D030000}"/>
    <cellStyle name="Output 10 3 2 6" xfId="684" xr:uid="{00000000-0005-0000-0000-0000DA020000}"/>
    <cellStyle name="Output 10 3 3 2" xfId="3502" xr:uid="{00000000-0005-0000-0000-0000DC0D0000}"/>
    <cellStyle name="Output 10 3 3 3" xfId="1451" xr:uid="{00000000-0005-0000-0000-0000D9050000}"/>
    <cellStyle name="Output 10 3 3 3 2" xfId="1459" xr:uid="{00000000-0005-0000-0000-0000E1050000}"/>
    <cellStyle name="Output 10 3 3 4" xfId="740" xr:uid="{00000000-0005-0000-0000-000012030000}"/>
    <cellStyle name="Output 10 3 3 4 2" xfId="236" xr:uid="{00000000-0005-0000-0000-00000C010000}"/>
    <cellStyle name="Output 10 3 8" xfId="1691" xr:uid="{00000000-0005-0000-0000-0000C9060000}"/>
    <cellStyle name="Output 10 5 3 2" xfId="800" xr:uid="{00000000-0005-0000-0000-00004E030000}"/>
    <cellStyle name="Output 10 8" xfId="429" xr:uid="{00000000-0005-0000-0000-0000DB010000}"/>
    <cellStyle name="Output 10 9" xfId="2280" xr:uid="{00000000-0005-0000-0000-000016090000}"/>
    <cellStyle name="Output 11 2 2 2 5" xfId="2194" xr:uid="{00000000-0005-0000-0000-0000C0080000}"/>
    <cellStyle name="Output 11 2 2 2 6" xfId="3980" xr:uid="{00000000-0005-0000-0000-0000BA0F0000}"/>
    <cellStyle name="Output 11 2 2 3 5" xfId="116" xr:uid="{00000000-0005-0000-0000-000080000000}"/>
    <cellStyle name="Output 11 9" xfId="832" xr:uid="{00000000-0005-0000-0000-00006E030000}"/>
    <cellStyle name="Output 16 2 2 2" xfId="3208" xr:uid="{00000000-0005-0000-0000-0000B60C0000}"/>
    <cellStyle name="Output 16 2 3 2" xfId="3315" xr:uid="{00000000-0005-0000-0000-0000210D0000}"/>
    <cellStyle name="Output 16 2 4 2" xfId="2830" xr:uid="{00000000-0005-0000-0000-00003C0B0000}"/>
    <cellStyle name="Output 16 3 2 2" xfId="2403" xr:uid="{00000000-0005-0000-0000-000091090000}"/>
    <cellStyle name="Output 16 3 3 2" xfId="1902" xr:uid="{00000000-0005-0000-0000-00009C070000}"/>
    <cellStyle name="Output 16 3 4 2" xfId="2412" xr:uid="{00000000-0005-0000-0000-00009A090000}"/>
    <cellStyle name="Output 16 7" xfId="691" xr:uid="{00000000-0005-0000-0000-0000E1020000}"/>
    <cellStyle name="Output 17 7" xfId="2815" xr:uid="{00000000-0005-0000-0000-00002D0B0000}"/>
    <cellStyle name="Output 18 4 2" xfId="551" xr:uid="{00000000-0005-0000-0000-000055020000}"/>
    <cellStyle name="Output 18 7" xfId="2817" xr:uid="{00000000-0005-0000-0000-00002F0B0000}"/>
    <cellStyle name="Output 19 5" xfId="2705" xr:uid="{00000000-0005-0000-0000-0000BF0A0000}"/>
    <cellStyle name="Output 19 5 2" xfId="1469" xr:uid="{00000000-0005-0000-0000-0000EB050000}"/>
    <cellStyle name="Output 19 8" xfId="960" xr:uid="{00000000-0005-0000-0000-0000EE030000}"/>
    <cellStyle name="Output 2 2 2 3 5" xfId="382" xr:uid="{00000000-0005-0000-0000-0000AC010000}"/>
    <cellStyle name="Output 2 5 2 3" xfId="3122" xr:uid="{00000000-0005-0000-0000-0000600C0000}"/>
    <cellStyle name="Output 2 6 6" xfId="503" xr:uid="{00000000-0005-0000-0000-000025020000}"/>
    <cellStyle name="Output 21 2 2 2" xfId="3209" xr:uid="{00000000-0005-0000-0000-0000B70C0000}"/>
    <cellStyle name="Output 21 2 3 2" xfId="3316" xr:uid="{00000000-0005-0000-0000-0000220D0000}"/>
    <cellStyle name="Output 21 2 4 2" xfId="2831" xr:uid="{00000000-0005-0000-0000-00003D0B0000}"/>
    <cellStyle name="Output 21 3 2 2" xfId="2404" xr:uid="{00000000-0005-0000-0000-000092090000}"/>
    <cellStyle name="Output 21 3 3 2" xfId="1901" xr:uid="{00000000-0005-0000-0000-00009B070000}"/>
    <cellStyle name="Output 21 3 4 2" xfId="2413" xr:uid="{00000000-0005-0000-0000-00009B090000}"/>
    <cellStyle name="Output 21 7" xfId="692" xr:uid="{00000000-0005-0000-0000-0000E2020000}"/>
    <cellStyle name="Output 23 4 2" xfId="552" xr:uid="{00000000-0005-0000-0000-000056020000}"/>
    <cellStyle name="Output 3 2 2 2 4 2" xfId="3774" xr:uid="{00000000-0005-0000-0000-0000EC0E0000}"/>
    <cellStyle name="Output 3 2 2 3 4" xfId="2563" xr:uid="{00000000-0005-0000-0000-0000310A0000}"/>
    <cellStyle name="Output 3 2 2 3 5" xfId="2572" xr:uid="{00000000-0005-0000-0000-00003A0A0000}"/>
    <cellStyle name="Output 3 6" xfId="1048" xr:uid="{00000000-0005-0000-0000-000046040000}"/>
    <cellStyle name="Output 3 6 2" xfId="1059" xr:uid="{00000000-0005-0000-0000-000051040000}"/>
    <cellStyle name="Output 3 9" xfId="3059" xr:uid="{00000000-0005-0000-0000-0000210C0000}"/>
    <cellStyle name="Output 4 11" xfId="2145" xr:uid="{00000000-0005-0000-0000-00008F080000}"/>
    <cellStyle name="Output 4 9" xfId="3069" xr:uid="{00000000-0005-0000-0000-00002B0C0000}"/>
    <cellStyle name="Output 5 3 2 4 2" xfId="2045" xr:uid="{00000000-0005-0000-0000-00002B080000}"/>
    <cellStyle name="Output 5 6" xfId="1066" xr:uid="{00000000-0005-0000-0000-000058040000}"/>
    <cellStyle name="Output 5 6 2" xfId="1070" xr:uid="{00000000-0005-0000-0000-00005C040000}"/>
    <cellStyle name="Output 5 9" xfId="3073" xr:uid="{00000000-0005-0000-0000-00002F0C0000}"/>
    <cellStyle name="Output 6" xfId="4010" xr:uid="{00000000-0005-0000-0000-0000D80F0000}"/>
    <cellStyle name="Output 6 2 5 2" xfId="2977" xr:uid="{00000000-0005-0000-0000-0000CF0B0000}"/>
    <cellStyle name="Output 6 2 5 3" xfId="2988" xr:uid="{00000000-0005-0000-0000-0000DA0B0000}"/>
    <cellStyle name="Output 6 6" xfId="1076" xr:uid="{00000000-0005-0000-0000-000062040000}"/>
    <cellStyle name="Output 6 6 2" xfId="1079" xr:uid="{00000000-0005-0000-0000-000065040000}"/>
    <cellStyle name="Output 7 10" xfId="2446" xr:uid="{00000000-0005-0000-0000-0000BC090000}"/>
    <cellStyle name="Output 7 2 2 5 2" xfId="1450" xr:uid="{00000000-0005-0000-0000-0000D8050000}"/>
    <cellStyle name="Output 7 2 5 2" xfId="3701" xr:uid="{00000000-0005-0000-0000-0000A30E0000}"/>
    <cellStyle name="Output 7 6" xfId="639" xr:uid="{00000000-0005-0000-0000-0000AD020000}"/>
    <cellStyle name="Output 7 6 2" xfId="658" xr:uid="{00000000-0005-0000-0000-0000C0020000}"/>
    <cellStyle name="Output 9 11" xfId="2868" xr:uid="{00000000-0005-0000-0000-0000620B0000}"/>
    <cellStyle name="Output 9 2 2 4 2" xfId="173" xr:uid="{00000000-0005-0000-0000-0000C4000000}"/>
    <cellStyle name="Output 9 2 2 5 2" xfId="3276" xr:uid="{00000000-0005-0000-0000-0000FA0C0000}"/>
    <cellStyle name="Output 9 2 2 6 2" xfId="29" xr:uid="{00000000-0005-0000-0000-000023000000}"/>
    <cellStyle name="Output 9 2 3 4 2" xfId="3428" xr:uid="{00000000-0005-0000-0000-0000920D0000}"/>
    <cellStyle name="Output 9 2 4 4 2" xfId="1749" xr:uid="{00000000-0005-0000-0000-000003070000}"/>
    <cellStyle name="Output 9 3 3 4" xfId="1068" xr:uid="{00000000-0005-0000-0000-00005A040000}"/>
    <cellStyle name="Output 9 3 3 4 2" xfId="1073" xr:uid="{00000000-0005-0000-0000-00005F040000}"/>
    <cellStyle name="Output 9 3 3 5" xfId="936" xr:uid="{00000000-0005-0000-0000-0000D6030000}"/>
    <cellStyle name="PSDec 3" xfId="2372" xr:uid="{00000000-0005-0000-0000-000072090000}"/>
    <cellStyle name="PSHeading 3" xfId="4059" xr:uid="{00000000-0005-0000-0000-000009100000}"/>
    <cellStyle name="PSHeading 4" xfId="203" xr:uid="{00000000-0005-0000-0000-0000E6000000}"/>
    <cellStyle name="PSHeading 5" xfId="2476" xr:uid="{00000000-0005-0000-0000-0000DA090000}"/>
    <cellStyle name="PSSpacer" xfId="2344" xr:uid="{00000000-0005-0000-0000-000056090000}"/>
    <cellStyle name="PSSpacer 2" xfId="968" xr:uid="{00000000-0005-0000-0000-0000F6030000}"/>
    <cellStyle name="Total 11 10 2" xfId="2352" xr:uid="{00000000-0005-0000-0000-00005E090000}"/>
    <cellStyle name="Total 11 2 2 2" xfId="848" xr:uid="{00000000-0005-0000-0000-00007E030000}"/>
    <cellStyle name="Total 11 2 2 2 5" xfId="3946" xr:uid="{00000000-0005-0000-0000-0000980F0000}"/>
    <cellStyle name="Total 11 2 2 2 6" xfId="2745" xr:uid="{00000000-0005-0000-0000-0000E70A0000}"/>
    <cellStyle name="Total 11 2 2 3" xfId="858" xr:uid="{00000000-0005-0000-0000-000088030000}"/>
    <cellStyle name="Total 11 2 2 4" xfId="886" xr:uid="{00000000-0005-0000-0000-0000A4030000}"/>
    <cellStyle name="Total 11 2 2 5" xfId="903" xr:uid="{00000000-0005-0000-0000-0000B5030000}"/>
    <cellStyle name="Total 11 2 3 2" xfId="1254" xr:uid="{00000000-0005-0000-0000-000014050000}"/>
    <cellStyle name="Total 11 2 3 2 2 2" xfId="140" xr:uid="{00000000-0005-0000-0000-00009D000000}"/>
    <cellStyle name="Total 11 2 3 2 3 2" xfId="3363" xr:uid="{00000000-0005-0000-0000-0000510D0000}"/>
    <cellStyle name="Total 11 2 3 2 4 2" xfId="3474" xr:uid="{00000000-0005-0000-0000-0000C00D0000}"/>
    <cellStyle name="Total 11 2 3 2 5" xfId="3959" xr:uid="{00000000-0005-0000-0000-0000A50F0000}"/>
    <cellStyle name="Total 11 2 4" xfId="50" xr:uid="{00000000-0005-0000-0000-00003A000000}"/>
    <cellStyle name="Total 11 2 4 2" xfId="1301" xr:uid="{00000000-0005-0000-0000-000043050000}"/>
    <cellStyle name="Total 11 2 5 2" xfId="1325" xr:uid="{00000000-0005-0000-0000-00005B050000}"/>
    <cellStyle name="Total 11 3 4 2" xfId="1851" xr:uid="{00000000-0005-0000-0000-000069070000}"/>
    <cellStyle name="Total 11 3 5 2" xfId="796" xr:uid="{00000000-0005-0000-0000-00004A030000}"/>
    <cellStyle name="Total 11 4 4 2" xfId="3018" xr:uid="{00000000-0005-0000-0000-0000F80B0000}"/>
    <cellStyle name="Total 11 4 5 2" xfId="2093" xr:uid="{00000000-0005-0000-0000-00005B080000}"/>
    <cellStyle name="Total 11 5 4 2" xfId="356" xr:uid="{00000000-0005-0000-0000-000092010000}"/>
    <cellStyle name="Total 12 2 2 6" xfId="1690" xr:uid="{00000000-0005-0000-0000-0000C8060000}"/>
    <cellStyle name="Total 12 2 3 6" xfId="1824" xr:uid="{00000000-0005-0000-0000-00004E070000}"/>
    <cellStyle name="Total 12 2 4 6" xfId="1826" xr:uid="{00000000-0005-0000-0000-000050070000}"/>
    <cellStyle name="Total 12 2 6" xfId="2378" xr:uid="{00000000-0005-0000-0000-000078090000}"/>
    <cellStyle name="Total 12 2 8" xfId="493" xr:uid="{00000000-0005-0000-0000-00001B020000}"/>
    <cellStyle name="Total 12 3 6" xfId="2385" xr:uid="{00000000-0005-0000-0000-00007F090000}"/>
    <cellStyle name="Total 13 2 2 6" xfId="2747" xr:uid="{00000000-0005-0000-0000-0000E90A0000}"/>
    <cellStyle name="Total 15 2 2 2" xfId="2556" xr:uid="{00000000-0005-0000-0000-00002A0A0000}"/>
    <cellStyle name="Total 16 2 4" xfId="3647" xr:uid="{00000000-0005-0000-0000-00006D0E0000}"/>
    <cellStyle name="Total 17" xfId="2493" xr:uid="{00000000-0005-0000-0000-0000EB090000}"/>
    <cellStyle name="Total 17 2 6" xfId="632" xr:uid="{00000000-0005-0000-0000-0000A6020000}"/>
    <cellStyle name="Total 19 2 2" xfId="1865" xr:uid="{00000000-0005-0000-0000-000077070000}"/>
    <cellStyle name="Total 19 2 3" xfId="1878" xr:uid="{00000000-0005-0000-0000-000084070000}"/>
    <cellStyle name="Total 19 3 2" xfId="1994" xr:uid="{00000000-0005-0000-0000-0000F8070000}"/>
    <cellStyle name="Total 19 3 3" xfId="467" xr:uid="{00000000-0005-0000-0000-000001020000}"/>
    <cellStyle name="Total 19 5" xfId="3732" xr:uid="{00000000-0005-0000-0000-0000C20E0000}"/>
    <cellStyle name="Total 19 5 2" xfId="2510" xr:uid="{00000000-0005-0000-0000-0000FC090000}"/>
    <cellStyle name="Total 19 6" xfId="3735" xr:uid="{00000000-0005-0000-0000-0000C50E0000}"/>
    <cellStyle name="Total 19 7" xfId="3738" xr:uid="{00000000-0005-0000-0000-0000C80E0000}"/>
    <cellStyle name="Total 2 12" xfId="2785" xr:uid="{00000000-0005-0000-0000-00000F0B0000}"/>
    <cellStyle name="Total 2 3" xfId="1723" xr:uid="{00000000-0005-0000-0000-0000E9060000}"/>
    <cellStyle name="Total 20 2 2 2" xfId="2557" xr:uid="{00000000-0005-0000-0000-00002B0A0000}"/>
    <cellStyle name="Total 21 2 4" xfId="3648" xr:uid="{00000000-0005-0000-0000-00006E0E0000}"/>
    <cellStyle name="Total 22" xfId="2494" xr:uid="{00000000-0005-0000-0000-0000EC090000}"/>
    <cellStyle name="Total 26" xfId="1101" xr:uid="{00000000-0005-0000-0000-00007B040000}"/>
    <cellStyle name="Total 27" xfId="1115" xr:uid="{00000000-0005-0000-0000-000089040000}"/>
    <cellStyle name="Total 28" xfId="1123" xr:uid="{00000000-0005-0000-0000-000091040000}"/>
    <cellStyle name="Total 3 2 2 2 3" xfId="3264" xr:uid="{00000000-0005-0000-0000-0000EE0C0000}"/>
    <cellStyle name="Total 3 2 2 5" xfId="3455" xr:uid="{00000000-0005-0000-0000-0000AD0D0000}"/>
    <cellStyle name="Total 3 2 2 7" xfId="999" xr:uid="{00000000-0005-0000-0000-000015040000}"/>
    <cellStyle name="Total 3 2 3 5" xfId="667" xr:uid="{00000000-0005-0000-0000-0000C9020000}"/>
    <cellStyle name="Total 3 3" xfId="2502" xr:uid="{00000000-0005-0000-0000-0000F4090000}"/>
    <cellStyle name="Total 5 2 2 5" xfId="2659" xr:uid="{00000000-0005-0000-0000-0000910A0000}"/>
    <cellStyle name="Total 5 2 3 5" xfId="2670" xr:uid="{00000000-0005-0000-0000-00009C0A0000}"/>
    <cellStyle name="Total 5 2 4 5" xfId="2678" xr:uid="{00000000-0005-0000-0000-0000A40A0000}"/>
    <cellStyle name="Total 5 3 2 5" xfId="1324" xr:uid="{00000000-0005-0000-0000-00005A050000}"/>
    <cellStyle name="Total 5 4 4 2" xfId="411" xr:uid="{00000000-0005-0000-0000-0000C9010000}"/>
    <cellStyle name="Total 6 2 3 6" xfId="1610" xr:uid="{00000000-0005-0000-0000-000078060000}"/>
    <cellStyle name="Total 6 3 2 4 2" xfId="2091" xr:uid="{00000000-0005-0000-0000-000059080000}"/>
    <cellStyle name="Total 6 4" xfId="946" xr:uid="{00000000-0005-0000-0000-0000E0030000}"/>
    <cellStyle name="Total 6 5" xfId="341" xr:uid="{00000000-0005-0000-0000-000083010000}"/>
    <cellStyle name="Total 6 5 2" xfId="446" xr:uid="{00000000-0005-0000-0000-0000EC010000}"/>
    <cellStyle name="Total 6 7 2" xfId="2541" xr:uid="{00000000-0005-0000-0000-00001B0A0000}"/>
    <cellStyle name="Total 7 4" xfId="4046" xr:uid="{00000000-0005-0000-0000-0000FC0F0000}"/>
    <cellStyle name="Total 7 5 3" xfId="3113" xr:uid="{00000000-0005-0000-0000-0000570C0000}"/>
    <cellStyle name="Total 8 3 2 2 2" xfId="1528" xr:uid="{00000000-0005-0000-0000-000026060000}"/>
    <cellStyle name="Total 8 3 2 3 2" xfId="2223" xr:uid="{00000000-0005-0000-0000-0000DD080000}"/>
    <cellStyle name="Total 8 3 2 4 2" xfId="84" xr:uid="{00000000-0005-0000-0000-00005E000000}"/>
    <cellStyle name="Total 8 4" xfId="844" xr:uid="{00000000-0005-0000-0000-00007A030000}"/>
    <cellStyle name="Total 8 5 2" xfId="1663" xr:uid="{00000000-0005-0000-0000-0000AD060000}"/>
    <cellStyle name="百分比" xfId="72" builtinId="5"/>
    <cellStyle name="百分比 2" xfId="4085" xr:uid="{00000000-0005-0000-0000-000023100000}"/>
    <cellStyle name="百分比 2 2 3" xfId="3191" xr:uid="{00000000-0005-0000-0000-0000A50C0000}"/>
    <cellStyle name="百分比 3" xfId="4086" xr:uid="{00000000-0005-0000-0000-000024100000}"/>
    <cellStyle name="百分比 7" xfId="119" xr:uid="{00000000-0005-0000-0000-000084000000}"/>
    <cellStyle name="编号 2 2" xfId="3970" xr:uid="{00000000-0005-0000-0000-0000B00F0000}"/>
    <cellStyle name="编号 2 2 2" xfId="3723" xr:uid="{00000000-0005-0000-0000-0000B90E0000}"/>
    <cellStyle name="编号 2 2 2 2" xfId="4087" xr:uid="{00000000-0005-0000-0000-000025100000}"/>
    <cellStyle name="编号 2 2 3" xfId="4088" xr:uid="{00000000-0005-0000-0000-000026100000}"/>
    <cellStyle name="编号 2 3 2" xfId="3784" xr:uid="{00000000-0005-0000-0000-0000F60E0000}"/>
    <cellStyle name="编号 2 3 2 2" xfId="4089" xr:uid="{00000000-0005-0000-0000-000027100000}"/>
    <cellStyle name="编号 5" xfId="1042" xr:uid="{00000000-0005-0000-0000-000040040000}"/>
    <cellStyle name="编号 5 2" xfId="4090" xr:uid="{00000000-0005-0000-0000-000028100000}"/>
    <cellStyle name="编号 5 2 2" xfId="1916" xr:uid="{00000000-0005-0000-0000-0000AA070000}"/>
    <cellStyle name="编号 5 2 2 2" xfId="1918" xr:uid="{00000000-0005-0000-0000-0000AC070000}"/>
    <cellStyle name="编号 5 2 3" xfId="1799" xr:uid="{00000000-0005-0000-0000-000035070000}"/>
    <cellStyle name="编号 5 2 3 2" xfId="1803" xr:uid="{00000000-0005-0000-0000-000039070000}"/>
    <cellStyle name="编号 6 2" xfId="3024" xr:uid="{00000000-0005-0000-0000-0000FE0B0000}"/>
    <cellStyle name="编号 6 2 2" xfId="3027" xr:uid="{00000000-0005-0000-0000-0000010C0000}"/>
    <cellStyle name="编号 6 3" xfId="754" xr:uid="{00000000-0005-0000-0000-000020030000}"/>
    <cellStyle name="编号 6 3 2" xfId="757" xr:uid="{00000000-0005-0000-0000-000023030000}"/>
    <cellStyle name="标题1 3 4" xfId="2040" xr:uid="{00000000-0005-0000-0000-000026080000}"/>
    <cellStyle name="标题1 3 4 2" xfId="2043" xr:uid="{00000000-0005-0000-0000-000029080000}"/>
    <cellStyle name="部门" xfId="3247" xr:uid="{00000000-0005-0000-0000-0000DD0C0000}"/>
    <cellStyle name="部门 2" xfId="4091" xr:uid="{00000000-0005-0000-0000-000029100000}"/>
    <cellStyle name="部门 2 2 5" xfId="2650" xr:uid="{00000000-0005-0000-0000-0000880A0000}"/>
    <cellStyle name="部门 2 2 5 2" xfId="4092" xr:uid="{00000000-0005-0000-0000-00002A100000}"/>
    <cellStyle name="部门 4 2 3" xfId="1374" xr:uid="{00000000-0005-0000-0000-00008C050000}"/>
    <cellStyle name="部门 4 2 3 2" xfId="1833" xr:uid="{00000000-0005-0000-0000-000057070000}"/>
    <cellStyle name="部门 4 2 4" xfId="1840" xr:uid="{00000000-0005-0000-0000-00005E070000}"/>
    <cellStyle name="部门 4 2 4 2" xfId="1846" xr:uid="{00000000-0005-0000-0000-000064070000}"/>
    <cellStyle name="部门 5 2 3" xfId="2995" xr:uid="{00000000-0005-0000-0000-0000E10B0000}"/>
    <cellStyle name="部门 5 2 3 2" xfId="2997" xr:uid="{00000000-0005-0000-0000-0000E30B0000}"/>
    <cellStyle name="部门 5 2 4" xfId="3007" xr:uid="{00000000-0005-0000-0000-0000ED0B0000}"/>
    <cellStyle name="部门 5 2 4 2" xfId="3009" xr:uid="{00000000-0005-0000-0000-0000EF0B0000}"/>
    <cellStyle name="差_2006年基础数据 2 2" xfId="1809" xr:uid="{00000000-0005-0000-0000-00003F070000}"/>
    <cellStyle name="差_2006年在职人员情况 2" xfId="2729" xr:uid="{00000000-0005-0000-0000-0000D70A0000}"/>
    <cellStyle name="差_2008年县级公安保障标准落实奖励经费分配测算 2" xfId="3530" xr:uid="{00000000-0005-0000-0000-0000F80D0000}"/>
    <cellStyle name="差_2008年县级公安保障标准落实奖励经费分配测算 3" xfId="3537" xr:uid="{00000000-0005-0000-0000-0000FF0D0000}"/>
    <cellStyle name="差_2009年一般性转移支付标准工资_地方配套按人均增幅控制8.31（调整结案率后）xl" xfId="2616" xr:uid="{00000000-0005-0000-0000-0000660A0000}"/>
    <cellStyle name="差_2009年一般性转移支付标准工资_奖励补助测算7.23 2 2" xfId="1983" xr:uid="{00000000-0005-0000-0000-0000ED070000}"/>
    <cellStyle name="差_2009年一般性转移支付标准工资_奖励补助测算7.25 13" xfId="4003" xr:uid="{00000000-0005-0000-0000-0000D10F0000}"/>
    <cellStyle name="差_2009年一般性转移支付标准工资_奖励补助测算7.25 13 2" xfId="4011" xr:uid="{00000000-0005-0000-0000-0000D90F0000}"/>
    <cellStyle name="差_2009年一般性转移支付标准工资_奖励补助测算7.25 14" xfId="2128" xr:uid="{00000000-0005-0000-0000-00007E080000}"/>
    <cellStyle name="差_2009年一般性转移支付标准工资_奖励补助测算7.25 14 2" xfId="2314" xr:uid="{00000000-0005-0000-0000-000038090000}"/>
    <cellStyle name="差_2009年一般性转移支付标准工资_奖励补助测算7.25 15" xfId="3659" xr:uid="{00000000-0005-0000-0000-0000790E0000}"/>
    <cellStyle name="差_2009年一般性转移支付标准工资_奖励补助测算7.25 15 2" xfId="3668" xr:uid="{00000000-0005-0000-0000-0000820E0000}"/>
    <cellStyle name="差_2009年一般性转移支付标准工资_奖励补助测算7.25 16" xfId="3675" xr:uid="{00000000-0005-0000-0000-0000890E0000}"/>
    <cellStyle name="差_2009年一般性转移支付标准工资_奖励补助测算7.25 17" xfId="2363" xr:uid="{00000000-0005-0000-0000-000069090000}"/>
    <cellStyle name="差_2009年一般性转移支付标准工资_奖励补助测算7.25 18 2" xfId="2737" xr:uid="{00000000-0005-0000-0000-0000DF0A0000}"/>
    <cellStyle name="差_2009年一般性转移支付标准工资_奖励补助测算7.25 2 2" xfId="3277" xr:uid="{00000000-0005-0000-0000-0000FB0C0000}"/>
    <cellStyle name="差_2009年一般性转移支付标准工资_奖励补助测算7.25 20" xfId="3660" xr:uid="{00000000-0005-0000-0000-00007A0E0000}"/>
    <cellStyle name="差_2009年一般性转移支付标准工资_奖励补助测算7.25 3 2" xfId="28" xr:uid="{00000000-0005-0000-0000-000022000000}"/>
    <cellStyle name="差_2009年一般性转移支付标准工资_奖励补助测算7.25 4 2" xfId="345" xr:uid="{00000000-0005-0000-0000-000087010000}"/>
    <cellStyle name="差_2009年一般性转移支付标准工资_奖励补助测算7.25 5 2" xfId="2872" xr:uid="{00000000-0005-0000-0000-0000660B0000}"/>
    <cellStyle name="差_2009年一般性转移支付标准工资_奖励补助测算7.25 6 2" xfId="865" xr:uid="{00000000-0005-0000-0000-00008F030000}"/>
    <cellStyle name="差_2009年一般性转移支付标准工资_奖励补助测算7.25 7 2" xfId="3366" xr:uid="{00000000-0005-0000-0000-0000540D0000}"/>
    <cellStyle name="差_2009年一般性转移支付标准工资_奖励补助测算7.25 9" xfId="1481" xr:uid="{00000000-0005-0000-0000-0000F7050000}"/>
    <cellStyle name="差_Book1 2 2" xfId="1722" xr:uid="{00000000-0005-0000-0000-0000E8060000}"/>
    <cellStyle name="差_Book2 2 2" xfId="2660" xr:uid="{00000000-0005-0000-0000-0000920A0000}"/>
    <cellStyle name="差_不用软件计算9.1不考虑经费管理评价xl 2 2" xfId="1931" xr:uid="{00000000-0005-0000-0000-0000B9070000}"/>
    <cellStyle name="差_财政供养人员" xfId="2375" xr:uid="{00000000-0005-0000-0000-000075090000}"/>
    <cellStyle name="差_成本管理督查表" xfId="659" xr:uid="{00000000-0005-0000-0000-0000C1020000}"/>
    <cellStyle name="差_承赤四标自购实验仪器清单_调测算" xfId="2858" xr:uid="{00000000-0005-0000-0000-0000580B0000}"/>
    <cellStyle name="差_城建部门 2" xfId="1038" xr:uid="{00000000-0005-0000-0000-00003C040000}"/>
    <cellStyle name="差_检验表（调整后）" xfId="3997" xr:uid="{00000000-0005-0000-0000-0000CB0F0000}"/>
    <cellStyle name="差_检验表（调整后） 2" xfId="4004" xr:uid="{00000000-0005-0000-0000-0000D20F0000}"/>
    <cellStyle name="差_检验表（调整后） 2 2" xfId="4012" xr:uid="{00000000-0005-0000-0000-0000DA0F0000}"/>
    <cellStyle name="差_检验表（调整后） 3" xfId="2129" xr:uid="{00000000-0005-0000-0000-00007F080000}"/>
    <cellStyle name="差_下半年禁毒办案经费分配2544.3万元 3" xfId="3047" xr:uid="{00000000-0005-0000-0000-0000150C0000}"/>
    <cellStyle name="差_业务工作量指标" xfId="1159" xr:uid="{00000000-0005-0000-0000-0000B5040000}"/>
    <cellStyle name="差_业务工作量指标 2" xfId="1321" xr:uid="{00000000-0005-0000-0000-000057050000}"/>
    <cellStyle name="差_整理后上疃中桥" xfId="1063" xr:uid="{00000000-0005-0000-0000-000055040000}"/>
    <cellStyle name="常规" xfId="0" builtinId="0"/>
    <cellStyle name="常规 10" xfId="3697" xr:uid="{00000000-0005-0000-0000-00009F0E0000}"/>
    <cellStyle name="常规 10 2 2 2 2 2" xfId="405" xr:uid="{00000000-0005-0000-0000-0000C3010000}"/>
    <cellStyle name="常规 12 2" xfId="4093" xr:uid="{00000000-0005-0000-0000-00002B100000}"/>
    <cellStyle name="常规 13_Xl0000132" xfId="373" xr:uid="{00000000-0005-0000-0000-0000A3010000}"/>
    <cellStyle name="常规 2" xfId="4094" xr:uid="{00000000-0005-0000-0000-00002C100000}"/>
    <cellStyle name="常规 2 10" xfId="4095" xr:uid="{00000000-0005-0000-0000-00002D100000}"/>
    <cellStyle name="常规 2 2 4 2 3 4 2" xfId="769" xr:uid="{00000000-0005-0000-0000-00002F030000}"/>
    <cellStyle name="常规 2 2 6 3 2" xfId="2525" xr:uid="{00000000-0005-0000-0000-00000B0A0000}"/>
    <cellStyle name="常规 2 4 3" xfId="1409" xr:uid="{00000000-0005-0000-0000-0000AF050000}"/>
    <cellStyle name="常规 2 9 2" xfId="3251" xr:uid="{00000000-0005-0000-0000-0000E10C0000}"/>
    <cellStyle name="常规 25" xfId="1438" xr:uid="{00000000-0005-0000-0000-0000CC050000}"/>
    <cellStyle name="常规 3" xfId="4096" xr:uid="{00000000-0005-0000-0000-00002E100000}"/>
    <cellStyle name="常规 3 2" xfId="4097" xr:uid="{00000000-0005-0000-0000-00002F100000}"/>
    <cellStyle name="常规 3 2 3" xfId="537" xr:uid="{00000000-0005-0000-0000-000047020000}"/>
    <cellStyle name="常规 3 3 3" xfId="3948" xr:uid="{00000000-0005-0000-0000-00009A0F0000}"/>
    <cellStyle name="常规 4" xfId="2773" xr:uid="{00000000-0005-0000-0000-0000030B0000}"/>
    <cellStyle name="常规 4 2" xfId="4098" xr:uid="{00000000-0005-0000-0000-000030100000}"/>
    <cellStyle name="常规 4 3 3" xfId="3961" xr:uid="{00000000-0005-0000-0000-0000A70F0000}"/>
    <cellStyle name="常规 4 3 4" xfId="1538" xr:uid="{00000000-0005-0000-0000-000030060000}"/>
    <cellStyle name="常规 45" xfId="1946" xr:uid="{00000000-0005-0000-0000-0000C8070000}"/>
    <cellStyle name="常规 5" xfId="1253" xr:uid="{00000000-0005-0000-0000-000013050000}"/>
    <cellStyle name="常规 5 2" xfId="4099" xr:uid="{00000000-0005-0000-0000-000031100000}"/>
    <cellStyle name="常规 6" xfId="4100" xr:uid="{00000000-0005-0000-0000-000032100000}"/>
    <cellStyle name="常规 7" xfId="4102" xr:uid="{00000000-0005-0000-0000-000034100000}"/>
    <cellStyle name="常规 7 2" xfId="3482" xr:uid="{00000000-0005-0000-0000-0000C80D0000}"/>
    <cellStyle name="常规 7 5" xfId="3560" xr:uid="{00000000-0005-0000-0000-0000160E0000}"/>
    <cellStyle name="常规 8" xfId="4104" xr:uid="{00000000-0005-0000-0000-000036100000}"/>
    <cellStyle name="常规 8 2 2" xfId="1278" xr:uid="{00000000-0005-0000-0000-00002C050000}"/>
    <cellStyle name="常规 9" xfId="4105" xr:uid="{00000000-0005-0000-0000-000037100000}"/>
    <cellStyle name="常规 9 2 2" xfId="1388" xr:uid="{00000000-0005-0000-0000-00009A050000}"/>
    <cellStyle name="常规 9 2 2 2" xfId="2722" xr:uid="{00000000-0005-0000-0000-0000D00A0000}"/>
    <cellStyle name="常规 9 2 3" xfId="2725" xr:uid="{00000000-0005-0000-0000-0000D30A0000}"/>
    <cellStyle name="常规 9 2 3 2" xfId="2727" xr:uid="{00000000-0005-0000-0000-0000D50A0000}"/>
    <cellStyle name="常规 9 2 4" xfId="2731" xr:uid="{00000000-0005-0000-0000-0000D90A0000}"/>
    <cellStyle name="常规 9 2 4 2" xfId="2734" xr:uid="{00000000-0005-0000-0000-0000DC0A0000}"/>
    <cellStyle name="常规 9 2 4 3" xfId="642" xr:uid="{00000000-0005-0000-0000-0000B0020000}"/>
    <cellStyle name="常规 9 2 4 4" xfId="3931" xr:uid="{00000000-0005-0000-0000-0000890F0000}"/>
    <cellStyle name="常规 9 2 5" xfId="2742" xr:uid="{00000000-0005-0000-0000-0000E40A0000}"/>
    <cellStyle name="常规 9 2 6" xfId="2750" xr:uid="{00000000-0005-0000-0000-0000EC0A0000}"/>
    <cellStyle name="常规 9 2 7" xfId="2753" xr:uid="{00000000-0005-0000-0000-0000EF0A0000}"/>
    <cellStyle name="常规 9 2 8" xfId="2757" xr:uid="{00000000-0005-0000-0000-0000F30A0000}"/>
    <cellStyle name="常规 9 3 4 3" xfId="2965" xr:uid="{00000000-0005-0000-0000-0000C30B0000}"/>
    <cellStyle name="常规 9 3 4 4" xfId="2978" xr:uid="{00000000-0005-0000-0000-0000D00B0000}"/>
    <cellStyle name="好_1003牟定县 3" xfId="458" xr:uid="{00000000-0005-0000-0000-0000F8010000}"/>
    <cellStyle name="好_1003牟定县 3 2" xfId="1688" xr:uid="{00000000-0005-0000-0000-0000C6060000}"/>
    <cellStyle name="好_2009年一般性转移支付标准工资_地方配套按人均增幅控制8.30xl" xfId="1540" xr:uid="{00000000-0005-0000-0000-000032060000}"/>
    <cellStyle name="好_2009年一般性转移支付标准工资_奖励补助测算5.22测试 2" xfId="2028" xr:uid="{00000000-0005-0000-0000-00001A080000}"/>
    <cellStyle name="好_2009年一般性转移支付标准工资_奖励补助测算5.22测试 3" xfId="2297" xr:uid="{00000000-0005-0000-0000-000027090000}"/>
    <cellStyle name="好_Book1_1 2" xfId="3492" xr:uid="{00000000-0005-0000-0000-0000D20D0000}"/>
    <cellStyle name="好_Book1_1 2 2" xfId="3813" xr:uid="{00000000-0005-0000-0000-0000130F0000}"/>
    <cellStyle name="好_Book1_1 3" xfId="1655" xr:uid="{00000000-0005-0000-0000-0000A5060000}"/>
    <cellStyle name="好_Book1_1_20120531马平路工程量清单（机电）" xfId="1709" xr:uid="{00000000-0005-0000-0000-0000DB060000}"/>
    <cellStyle name="好_Book1_1_第一册-来马路工程量清单（土建）.造价部核" xfId="2482" xr:uid="{00000000-0005-0000-0000-0000E0090000}"/>
    <cellStyle name="好_Book1_1_第一册-来马路工程量清单（土建）.造价部核 2" xfId="2496" xr:uid="{00000000-0005-0000-0000-0000EE090000}"/>
    <cellStyle name="好_Book1_1_第一册-来马路工程量清单（土建）.造价部核 2 2" xfId="3144" xr:uid="{00000000-0005-0000-0000-0000760C0000}"/>
    <cellStyle name="好_Book1_1_第一册-来马路工程量清单（土建）.造价部核 3" xfId="3164" xr:uid="{00000000-0005-0000-0000-00008A0C0000}"/>
    <cellStyle name="好_Book1_2 2" xfId="3832" xr:uid="{00000000-0005-0000-0000-0000260F0000}"/>
    <cellStyle name="好_财政支出对上级的依赖程度" xfId="3676" xr:uid="{00000000-0005-0000-0000-00008A0E0000}"/>
    <cellStyle name="好_成本管理督查表_石磁11标成测" xfId="1979" xr:uid="{00000000-0005-0000-0000-0000E9070000}"/>
    <cellStyle name="好_承赤清单-路基，0917" xfId="3563" xr:uid="{00000000-0005-0000-0000-0000190E0000}"/>
    <cellStyle name="好_承赤清单隧道(3标)" xfId="2580" xr:uid="{00000000-0005-0000-0000-0000420A0000}"/>
    <cellStyle name="好_地方配套按人均增幅控制8.31（调整结案率后）xl 2" xfId="83" xr:uid="{00000000-0005-0000-0000-00005D000000}"/>
    <cellStyle name="好_地方配套按人均增幅控制8.31（调整结案率后）xl 2 2" xfId="1721" xr:uid="{00000000-0005-0000-0000-0000E7060000}"/>
    <cellStyle name="好_地方配套按人均增幅控制8.31（调整结案率后）xl 3" xfId="2489" xr:uid="{00000000-0005-0000-0000-0000E7090000}"/>
    <cellStyle name="好_地方配套按人均增幅控制8.31（调整结案率后）xl 3 2" xfId="2503" xr:uid="{00000000-0005-0000-0000-0000F5090000}"/>
    <cellStyle name="好_第一册-来马路工程量清单（土建）.造价部核 2 2" xfId="3851" xr:uid="{00000000-0005-0000-0000-0000390F0000}"/>
    <cellStyle name="好_第一册-来马路工程量清单（土建）.造价部核 2 2 2" xfId="3855" xr:uid="{00000000-0005-0000-0000-00003D0F0000}"/>
    <cellStyle name="好_第一册-来马路工程量清单（土建）.造价部核 3 2" xfId="3911" xr:uid="{00000000-0005-0000-0000-0000750F0000}"/>
    <cellStyle name="好_架梁机使用费" xfId="1583" xr:uid="{00000000-0005-0000-0000-00005D060000}"/>
    <cellStyle name="好_检验表" xfId="1625" xr:uid="{00000000-0005-0000-0000-000087060000}"/>
    <cellStyle name="好_检验表 2" xfId="1632" xr:uid="{00000000-0005-0000-0000-00008E060000}"/>
    <cellStyle name="好_检验表（调整后） 3" xfId="926" xr:uid="{00000000-0005-0000-0000-0000CC030000}"/>
    <cellStyle name="好_奖励补助测算7.23 2" xfId="3981" xr:uid="{00000000-0005-0000-0000-0000BB0F0000}"/>
    <cellStyle name="好_奖励补助测算7.25" xfId="1172" xr:uid="{00000000-0005-0000-0000-0000C2040000}"/>
    <cellStyle name="好_奖励补助测算7.25 (version 1) (version 1) 3" xfId="3581" xr:uid="{00000000-0005-0000-0000-00002B0E0000}"/>
    <cellStyle name="好_奖励补助测算7.25 19 2" xfId="712" xr:uid="{00000000-0005-0000-0000-0000F6020000}"/>
    <cellStyle name="好_奖励补助测算7.25 2" xfId="1177" xr:uid="{00000000-0005-0000-0000-0000C7040000}"/>
    <cellStyle name="好_桃园沟二号桩基_调测算" xfId="675" xr:uid="{00000000-0005-0000-0000-0000D1020000}"/>
    <cellStyle name="好_文体广播部门 2 2 2" xfId="541" xr:uid="{00000000-0005-0000-0000-00004B020000}"/>
    <cellStyle name="好_下半年禁毒办案经费分配2544.3万元 3 2" xfId="1560" xr:uid="{00000000-0005-0000-0000-000046060000}"/>
    <cellStyle name="好_下半年禁吸戒毒经费1000万元 2 2 2" xfId="1798" xr:uid="{00000000-0005-0000-0000-000034070000}"/>
    <cellStyle name="好_云南省2008年中小学教职工情况（教育厅提供20090101加工整理）" xfId="3086" xr:uid="{00000000-0005-0000-0000-00003C0C0000}"/>
    <cellStyle name="好_云南省2008年中小学教职工情况（教育厅提供20090101加工整理） 2" xfId="2567" xr:uid="{00000000-0005-0000-0000-0000350A0000}"/>
    <cellStyle name="好_指标五" xfId="1551" xr:uid="{00000000-0005-0000-0000-00003D060000}"/>
    <cellStyle name="好_指标五 2" xfId="1558" xr:uid="{00000000-0005-0000-0000-000044060000}"/>
    <cellStyle name="汇总 2 10 2 2 2 2 2" xfId="104" xr:uid="{00000000-0005-0000-0000-000073000000}"/>
    <cellStyle name="汇总 2 10 2 2 2 3 2" xfId="2924" xr:uid="{00000000-0005-0000-0000-00009A0B0000}"/>
    <cellStyle name="汇总 2 10 2 2 3 2 2" xfId="2049" xr:uid="{00000000-0005-0000-0000-00002F080000}"/>
    <cellStyle name="汇总 2 10 2 2 3 3 2" xfId="604" xr:uid="{00000000-0005-0000-0000-00008A020000}"/>
    <cellStyle name="汇总 2 10 2 4 4" xfId="514" xr:uid="{00000000-0005-0000-0000-000030020000}"/>
    <cellStyle name="汇总 2 10 2 4 4 2" xfId="520" xr:uid="{00000000-0005-0000-0000-000036020000}"/>
    <cellStyle name="汇总 2 11 2 2 2 2 2" xfId="1133" xr:uid="{00000000-0005-0000-0000-00009B040000}"/>
    <cellStyle name="汇总 2 11 2 2 2 3 2" xfId="1145" xr:uid="{00000000-0005-0000-0000-0000A7040000}"/>
    <cellStyle name="汇总 2 11 3 6" xfId="2946" xr:uid="{00000000-0005-0000-0000-0000B00B0000}"/>
    <cellStyle name="汇总 2 11 4 2 3" xfId="4066" xr:uid="{00000000-0005-0000-0000-000010100000}"/>
    <cellStyle name="汇总 2 11 4 6" xfId="992" xr:uid="{00000000-0005-0000-0000-00000E040000}"/>
    <cellStyle name="汇总 2 11 5 6" xfId="274" xr:uid="{00000000-0005-0000-0000-000038010000}"/>
    <cellStyle name="汇总 2 12 2 2 2 2" xfId="2233" xr:uid="{00000000-0005-0000-0000-0000E7080000}"/>
    <cellStyle name="汇总 2 12 2 2 2 2 2" xfId="2239" xr:uid="{00000000-0005-0000-0000-0000ED080000}"/>
    <cellStyle name="汇总 2 12 2 2 2 3" xfId="2249" xr:uid="{00000000-0005-0000-0000-0000F7080000}"/>
    <cellStyle name="汇总 2 12 2 2 2 4" xfId="2272" xr:uid="{00000000-0005-0000-0000-00000E090000}"/>
    <cellStyle name="汇总 2 12 2 2 3 2" xfId="2490" xr:uid="{00000000-0005-0000-0000-0000E8090000}"/>
    <cellStyle name="汇总 2 12 2 2 3 2 2" xfId="2504" xr:uid="{00000000-0005-0000-0000-0000F6090000}"/>
    <cellStyle name="汇总 2 12 2 2 3 3" xfId="2517" xr:uid="{00000000-0005-0000-0000-0000030A0000}"/>
    <cellStyle name="汇总 2 12 2 2 3 4" xfId="1209" xr:uid="{00000000-0005-0000-0000-0000E7040000}"/>
    <cellStyle name="汇总 2 12 2 3 2 2" xfId="3639" xr:uid="{00000000-0005-0000-0000-0000650E0000}"/>
    <cellStyle name="汇总 2 12 2 3 3 2" xfId="2359" xr:uid="{00000000-0005-0000-0000-000065090000}"/>
    <cellStyle name="汇总 2 12 2 4 2 2" xfId="3739" xr:uid="{00000000-0005-0000-0000-0000C90E0000}"/>
    <cellStyle name="汇总 2 12 2 4 3 2" xfId="3761" xr:uid="{00000000-0005-0000-0000-0000DF0E0000}"/>
    <cellStyle name="汇总 2 12 3 2" xfId="9" xr:uid="{00000000-0005-0000-0000-00000D000000}"/>
    <cellStyle name="汇总 2 12 3 2 2" xfId="636" xr:uid="{00000000-0005-0000-0000-0000AA020000}"/>
    <cellStyle name="汇总 2 12 3 2 2 2" xfId="653" xr:uid="{00000000-0005-0000-0000-0000BB020000}"/>
    <cellStyle name="汇总 2 12 3 2 3" xfId="221" xr:uid="{00000000-0005-0000-0000-0000FA000000}"/>
    <cellStyle name="汇总 2 12 3 2 3 2" xfId="312" xr:uid="{00000000-0005-0000-0000-000064010000}"/>
    <cellStyle name="汇总 2 12 3 2 4" xfId="855" xr:uid="{00000000-0005-0000-0000-000085030000}"/>
    <cellStyle name="汇总 2 12 3 3" xfId="283" xr:uid="{00000000-0005-0000-0000-000041010000}"/>
    <cellStyle name="汇总 2 12 3 3 2" xfId="1229" xr:uid="{00000000-0005-0000-0000-0000FB040000}"/>
    <cellStyle name="汇总 2 12 3 3 2 2" xfId="1234" xr:uid="{00000000-0005-0000-0000-000000050000}"/>
    <cellStyle name="汇总 2 12 3 3 3" xfId="1132" xr:uid="{00000000-0005-0000-0000-00009A040000}"/>
    <cellStyle name="汇总 2 12 3 3 3 2" xfId="1251" xr:uid="{00000000-0005-0000-0000-000011050000}"/>
    <cellStyle name="汇总 2 12 3 3 4" xfId="1266" xr:uid="{00000000-0005-0000-0000-000020050000}"/>
    <cellStyle name="汇总 2 12 3 4" xfId="230" xr:uid="{00000000-0005-0000-0000-000004010000}"/>
    <cellStyle name="汇总 2 12 3 4 2" xfId="1272" xr:uid="{00000000-0005-0000-0000-000026050000}"/>
    <cellStyle name="汇总 2 12 3 4 3" xfId="1144" xr:uid="{00000000-0005-0000-0000-0000A6040000}"/>
    <cellStyle name="汇总 2 12 3 5" xfId="190" xr:uid="{00000000-0005-0000-0000-0000D6000000}"/>
    <cellStyle name="汇总 2 12 3 5 2" xfId="1307" xr:uid="{00000000-0005-0000-0000-000049050000}"/>
    <cellStyle name="汇总 2 12 3 6" xfId="2959" xr:uid="{00000000-0005-0000-0000-0000BD0B0000}"/>
    <cellStyle name="汇总 2 12 4 6" xfId="2971" xr:uid="{00000000-0005-0000-0000-0000C90B0000}"/>
    <cellStyle name="汇总 2 12 5 6" xfId="2983" xr:uid="{00000000-0005-0000-0000-0000D50B0000}"/>
    <cellStyle name="汇总 2 15" xfId="1241" xr:uid="{00000000-0005-0000-0000-000007050000}"/>
    <cellStyle name="汇总 2 18 2 2" xfId="3714" xr:uid="{00000000-0005-0000-0000-0000B00E0000}"/>
    <cellStyle name="汇总 2 18 2 3" xfId="3718" xr:uid="{00000000-0005-0000-0000-0000B40E0000}"/>
    <cellStyle name="汇总 2 18 2 4" xfId="3720" xr:uid="{00000000-0005-0000-0000-0000B60E0000}"/>
    <cellStyle name="汇总 2 18 3 2" xfId="1027" xr:uid="{00000000-0005-0000-0000-000031040000}"/>
    <cellStyle name="汇总 2 18 3 3" xfId="3779" xr:uid="{00000000-0005-0000-0000-0000F10E0000}"/>
    <cellStyle name="汇总 2 18 3 4" xfId="3781" xr:uid="{00000000-0005-0000-0000-0000F30E0000}"/>
    <cellStyle name="汇总 2 18 4 2" xfId="3864" xr:uid="{00000000-0005-0000-0000-0000460F0000}"/>
    <cellStyle name="汇总 2 18 4 3" xfId="3868" xr:uid="{00000000-0005-0000-0000-00004A0F0000}"/>
    <cellStyle name="汇总 2 18 5 2" xfId="3921" xr:uid="{00000000-0005-0000-0000-00007F0F0000}"/>
    <cellStyle name="汇总 2 2 9 2" xfId="1400" xr:uid="{00000000-0005-0000-0000-0000A6050000}"/>
    <cellStyle name="汇总 2 2 9 3" xfId="3141" xr:uid="{00000000-0005-0000-0000-0000730C0000}"/>
    <cellStyle name="汇总 2 20" xfId="1240" xr:uid="{00000000-0005-0000-0000-000006050000}"/>
    <cellStyle name="汇总 2 23 2 2" xfId="3715" xr:uid="{00000000-0005-0000-0000-0000B10E0000}"/>
    <cellStyle name="汇总 2 23 3 2" xfId="1026" xr:uid="{00000000-0005-0000-0000-000030040000}"/>
    <cellStyle name="汇总 2 23 4 2" xfId="3865" xr:uid="{00000000-0005-0000-0000-0000470F0000}"/>
    <cellStyle name="汇总 2 3 12" xfId="2848" xr:uid="{00000000-0005-0000-0000-00004E0B0000}"/>
    <cellStyle name="汇总 2 3 4 4" xfId="497" xr:uid="{00000000-0005-0000-0000-00001F020000}"/>
    <cellStyle name="汇总 2 3 4 4 2" xfId="499" xr:uid="{00000000-0005-0000-0000-000021020000}"/>
    <cellStyle name="汇总 2 4 2 7" xfId="258" xr:uid="{00000000-0005-0000-0000-000026010000}"/>
    <cellStyle name="汇总 2 4 3 3 2 2" xfId="2691" xr:uid="{00000000-0005-0000-0000-0000B10A0000}"/>
    <cellStyle name="汇总 2 4 3 3 3 2" xfId="3465" xr:uid="{00000000-0005-0000-0000-0000B70D0000}"/>
    <cellStyle name="汇总 2 4 3 3 4 2" xfId="3472" xr:uid="{00000000-0005-0000-0000-0000BE0D0000}"/>
    <cellStyle name="汇总 2 4 4" xfId="264" xr:uid="{00000000-0005-0000-0000-00002D010000}"/>
    <cellStyle name="汇总 2 4 4 2" xfId="1905" xr:uid="{00000000-0005-0000-0000-00009F070000}"/>
    <cellStyle name="汇总 2 4 4 6" xfId="2341" xr:uid="{00000000-0005-0000-0000-000053090000}"/>
    <cellStyle name="汇总 2 4 5" xfId="277" xr:uid="{00000000-0005-0000-0000-00003B010000}"/>
    <cellStyle name="汇总 2 5 3 3 2" xfId="2713" xr:uid="{00000000-0005-0000-0000-0000C70A0000}"/>
    <cellStyle name="汇总 2 5 4 6" xfId="3940" xr:uid="{00000000-0005-0000-0000-0000920F0000}"/>
    <cellStyle name="汇总 2 5 4 7" xfId="3989" xr:uid="{00000000-0005-0000-0000-0000C30F0000}"/>
    <cellStyle name="汇总 2 5 5 3 2" xfId="1137" xr:uid="{00000000-0005-0000-0000-00009F040000}"/>
    <cellStyle name="汇总 2 7 4 4 2" xfId="3976" xr:uid="{00000000-0005-0000-0000-0000B60F0000}"/>
    <cellStyle name="汇总 2 9 2 4" xfId="4013" xr:uid="{00000000-0005-0000-0000-0000DB0F0000}"/>
    <cellStyle name="汇总 2 9 2 9" xfId="3814" xr:uid="{00000000-0005-0000-0000-0000140F0000}"/>
    <cellStyle name="汇总 2 9 3 5 2" xfId="526" xr:uid="{00000000-0005-0000-0000-00003C020000}"/>
    <cellStyle name="汇总 3 10 2 4 5" xfId="2546" xr:uid="{00000000-0005-0000-0000-0000200A0000}"/>
    <cellStyle name="汇总 3 11 3 3 3 2" xfId="205" xr:uid="{00000000-0005-0000-0000-0000E8000000}"/>
    <cellStyle name="汇总 3 13 4" xfId="1259" xr:uid="{00000000-0005-0000-0000-000019050000}"/>
    <cellStyle name="汇总 3 13 5" xfId="3369" xr:uid="{00000000-0005-0000-0000-0000570D0000}"/>
    <cellStyle name="汇总 3 13 5 3" xfId="706" xr:uid="{00000000-0005-0000-0000-0000F0020000}"/>
    <cellStyle name="汇总 3 13 6 2" xfId="3486" xr:uid="{00000000-0005-0000-0000-0000CC0D0000}"/>
    <cellStyle name="汇总 3 14 2 2 2" xfId="2914" xr:uid="{00000000-0005-0000-0000-0000900B0000}"/>
    <cellStyle name="汇总 3 14 2 2 2 2" xfId="4020" xr:uid="{00000000-0005-0000-0000-0000E20F0000}"/>
    <cellStyle name="汇总 3 14 2 2 3" xfId="370" xr:uid="{00000000-0005-0000-0000-0000A0010000}"/>
    <cellStyle name="汇总 3 14 2 2 3 2" xfId="2038" xr:uid="{00000000-0005-0000-0000-000024080000}"/>
    <cellStyle name="汇总 3 14 2 2 4" xfId="2620" xr:uid="{00000000-0005-0000-0000-00006A0A0000}"/>
    <cellStyle name="汇总 3 14 2 2 4 2" xfId="4029" xr:uid="{00000000-0005-0000-0000-0000EB0F0000}"/>
    <cellStyle name="汇总 3 14 2 2 5" xfId="4032" xr:uid="{00000000-0005-0000-0000-0000EE0F0000}"/>
    <cellStyle name="汇总 3 14 2 2 6" xfId="4038" xr:uid="{00000000-0005-0000-0000-0000F40F0000}"/>
    <cellStyle name="汇总 3 14 2 3 2" xfId="2919" xr:uid="{00000000-0005-0000-0000-0000950B0000}"/>
    <cellStyle name="汇总 3 14 2 3 2 2" xfId="4047" xr:uid="{00000000-0005-0000-0000-0000FD0F0000}"/>
    <cellStyle name="汇总 3 14 2 3 3" xfId="156" xr:uid="{00000000-0005-0000-0000-0000AE000000}"/>
    <cellStyle name="汇总 3 14 2 3 3 2" xfId="845" xr:uid="{00000000-0005-0000-0000-00007B030000}"/>
    <cellStyle name="汇总 3 14 2 3 4" xfId="106" xr:uid="{00000000-0005-0000-0000-000075000000}"/>
    <cellStyle name="汇总 3 14 2 3 5" xfId="44" xr:uid="{00000000-0005-0000-0000-000033000000}"/>
    <cellStyle name="汇总 3 14 2 4 2" xfId="1014" xr:uid="{00000000-0005-0000-0000-000024040000}"/>
    <cellStyle name="汇总 3 14 2 5 2" xfId="202" xr:uid="{00000000-0005-0000-0000-0000E5000000}"/>
    <cellStyle name="汇总 3 14 2 6 2" xfId="4106" xr:uid="{00000000-0005-0000-0000-000038100000}"/>
    <cellStyle name="汇总 3 14 4 4 2" xfId="2775" xr:uid="{00000000-0005-0000-0000-0000050B0000}"/>
    <cellStyle name="汇总 3 16 3 4 2" xfId="2838" xr:uid="{00000000-0005-0000-0000-0000440B0000}"/>
    <cellStyle name="汇总 3 18 2 3" xfId="1536" xr:uid="{00000000-0005-0000-0000-00002E060000}"/>
    <cellStyle name="汇总 3 18 3 3" xfId="1557" xr:uid="{00000000-0005-0000-0000-000043060000}"/>
    <cellStyle name="汇总 3 18 4 3" xfId="2992" xr:uid="{00000000-0005-0000-0000-0000DE0B0000}"/>
    <cellStyle name="汇总 3 19 2 3" xfId="3002" xr:uid="{00000000-0005-0000-0000-0000E80B0000}"/>
    <cellStyle name="汇总 3 2 11" xfId="1697" xr:uid="{00000000-0005-0000-0000-0000CF060000}"/>
    <cellStyle name="汇总 3 2 2 2 3 3" xfId="2781" xr:uid="{00000000-0005-0000-0000-00000B0B0000}"/>
    <cellStyle name="汇总 3 21 3 4 2" xfId="2839" xr:uid="{00000000-0005-0000-0000-0000450B0000}"/>
    <cellStyle name="汇总 3 3 2 2 2 4 2" xfId="469" xr:uid="{00000000-0005-0000-0000-000003020000}"/>
    <cellStyle name="汇总 3 3 2 2 7" xfId="3655" xr:uid="{00000000-0005-0000-0000-0000750E0000}"/>
    <cellStyle name="汇总 3 3 2 2 8" xfId="3672" xr:uid="{00000000-0005-0000-0000-0000860E0000}"/>
    <cellStyle name="汇总 3 3 3 2 4 2" xfId="773" xr:uid="{00000000-0005-0000-0000-000033030000}"/>
    <cellStyle name="汇总 3 3 3 2 6" xfId="338" xr:uid="{00000000-0005-0000-0000-000080010000}"/>
    <cellStyle name="汇总 3 3 3 3 4 2" xfId="1197" xr:uid="{00000000-0005-0000-0000-0000DB040000}"/>
    <cellStyle name="汇总 3 3 8 4" xfId="49" xr:uid="{00000000-0005-0000-0000-000039000000}"/>
    <cellStyle name="汇总 3 5 2 2 5" xfId="2859" xr:uid="{00000000-0005-0000-0000-0000590B0000}"/>
    <cellStyle name="汇总 3 5 3 2 6" xfId="679" xr:uid="{00000000-0005-0000-0000-0000D5020000}"/>
    <cellStyle name="汇总 3 5 6 2" xfId="950" xr:uid="{00000000-0005-0000-0000-0000E4030000}"/>
    <cellStyle name="汇总 3 6 10" xfId="1417" xr:uid="{00000000-0005-0000-0000-0000B7050000}"/>
    <cellStyle name="汇总 3 6 10 2" xfId="1420" xr:uid="{00000000-0005-0000-0000-0000BA050000}"/>
    <cellStyle name="汇总 3 6 11" xfId="1425" xr:uid="{00000000-0005-0000-0000-0000BF050000}"/>
    <cellStyle name="汇总 3 6 2 4 4 2" xfId="303" xr:uid="{00000000-0005-0000-0000-00005A010000}"/>
    <cellStyle name="汇总 3 8 8 4" xfId="3649" xr:uid="{00000000-0005-0000-0000-00006F0E0000}"/>
    <cellStyle name="汇总 3 9 2 2 3 4" xfId="3614" xr:uid="{00000000-0005-0000-0000-00004C0E0000}"/>
    <cellStyle name="汇总 3 9 2 9" xfId="3886" xr:uid="{00000000-0005-0000-0000-00005C0F0000}"/>
    <cellStyle name="计算 2 10 3 2 3 2" xfId="2399" xr:uid="{00000000-0005-0000-0000-00008D090000}"/>
    <cellStyle name="计算 2 11 2 2 3" xfId="527" xr:uid="{00000000-0005-0000-0000-00003D020000}"/>
    <cellStyle name="计算 2 11 2 2 3 2" xfId="533" xr:uid="{00000000-0005-0000-0000-000043020000}"/>
    <cellStyle name="计算 2 11 2 2 5 2" xfId="1037" xr:uid="{00000000-0005-0000-0000-00003B040000}"/>
    <cellStyle name="计算 2 11 4 2 3" xfId="815" xr:uid="{00000000-0005-0000-0000-00005D030000}"/>
    <cellStyle name="计算 2 11 6 2" xfId="1414" xr:uid="{00000000-0005-0000-0000-0000B4050000}"/>
    <cellStyle name="计算 2 11 6 3" xfId="1758" xr:uid="{00000000-0005-0000-0000-00000C070000}"/>
    <cellStyle name="计算 2 11 6 4" xfId="1776" xr:uid="{00000000-0005-0000-0000-00001E070000}"/>
    <cellStyle name="计算 2 11 7 2" xfId="2908" xr:uid="{00000000-0005-0000-0000-00008A0B0000}"/>
    <cellStyle name="计算 2 11 7 3" xfId="3556" xr:uid="{00000000-0005-0000-0000-0000120E0000}"/>
    <cellStyle name="计算 2 11 7 4" xfId="3568" xr:uid="{00000000-0005-0000-0000-00001E0E0000}"/>
    <cellStyle name="计算 2 11 8 2" xfId="3966" xr:uid="{00000000-0005-0000-0000-0000AC0F0000}"/>
    <cellStyle name="计算 2 11 8 3" xfId="3588" xr:uid="{00000000-0005-0000-0000-0000320E0000}"/>
    <cellStyle name="计算 2 11 8 4" xfId="3594" xr:uid="{00000000-0005-0000-0000-0000380E0000}"/>
    <cellStyle name="计算 2 11 9 2" xfId="3982" xr:uid="{00000000-0005-0000-0000-0000BC0F0000}"/>
    <cellStyle name="计算 2 12 2 2 3" xfId="1936" xr:uid="{00000000-0005-0000-0000-0000BE070000}"/>
    <cellStyle name="计算 2 12 2 2 3 2 2" xfId="70" xr:uid="{00000000-0005-0000-0000-00004F000000}"/>
    <cellStyle name="计算 2 12 2 3 3" xfId="1945" xr:uid="{00000000-0005-0000-0000-0000C7070000}"/>
    <cellStyle name="计算 2 12 2 4 2 2" xfId="597" xr:uid="{00000000-0005-0000-0000-000083020000}"/>
    <cellStyle name="计算 2 12 2 4 3" xfId="1957" xr:uid="{00000000-0005-0000-0000-0000D3070000}"/>
    <cellStyle name="计算 2 12 2 4 3 2" xfId="3037" xr:uid="{00000000-0005-0000-0000-00000B0C0000}"/>
    <cellStyle name="计算 2 12 2 5 3" xfId="1963" xr:uid="{00000000-0005-0000-0000-0000D9070000}"/>
    <cellStyle name="计算 2 12 6 2" xfId="2455" xr:uid="{00000000-0005-0000-0000-0000C5090000}"/>
    <cellStyle name="计算 2 12 6 3" xfId="2470" xr:uid="{00000000-0005-0000-0000-0000D4090000}"/>
    <cellStyle name="计算 2 12 6 4" xfId="80" xr:uid="{00000000-0005-0000-0000-00005A000000}"/>
    <cellStyle name="计算 2 12 7 2" xfId="2627" xr:uid="{00000000-0005-0000-0000-0000710A0000}"/>
    <cellStyle name="计算 2 12 7 3" xfId="1034" xr:uid="{00000000-0005-0000-0000-000038040000}"/>
    <cellStyle name="计算 2 12 7 4" xfId="2653" xr:uid="{00000000-0005-0000-0000-00008B0A0000}"/>
    <cellStyle name="计算 2 12 8 2" xfId="111" xr:uid="{00000000-0005-0000-0000-00007B000000}"/>
    <cellStyle name="计算 2 13 6 2" xfId="2130" xr:uid="{00000000-0005-0000-0000-000080080000}"/>
    <cellStyle name="计算 2 13 7 2" xfId="2140" xr:uid="{00000000-0005-0000-0000-00008A080000}"/>
    <cellStyle name="计算 2 14 6 2" xfId="340" xr:uid="{00000000-0005-0000-0000-000082010000}"/>
    <cellStyle name="计算 2 15 6 2" xfId="4050" xr:uid="{00000000-0005-0000-0000-000000100000}"/>
    <cellStyle name="计算 2 16 5" xfId="1282" xr:uid="{00000000-0005-0000-0000-000030050000}"/>
    <cellStyle name="计算 2 17 2 4 2" xfId="2014" xr:uid="{00000000-0005-0000-0000-00000C080000}"/>
    <cellStyle name="计算 2 2 2 2 2 2" xfId="3305" xr:uid="{00000000-0005-0000-0000-0000170D0000}"/>
    <cellStyle name="计算 2 2 2 2 2 3" xfId="3551" xr:uid="{00000000-0005-0000-0000-00000D0E0000}"/>
    <cellStyle name="计算 2 2 2 2 3 2" xfId="3327" xr:uid="{00000000-0005-0000-0000-00002D0D0000}"/>
    <cellStyle name="计算 2 2 2 2 3 3" xfId="3582" xr:uid="{00000000-0005-0000-0000-00002C0E0000}"/>
    <cellStyle name="计算 2 2 2 3 2 2" xfId="2518" xr:uid="{00000000-0005-0000-0000-0000040A0000}"/>
    <cellStyle name="计算 2 2 2 4 2 2" xfId="3684" xr:uid="{00000000-0005-0000-0000-0000920E0000}"/>
    <cellStyle name="计算 2 2 3 2 5" xfId="976" xr:uid="{00000000-0005-0000-0000-0000FE030000}"/>
    <cellStyle name="计算 2 2 3 2 6" xfId="1647" xr:uid="{00000000-0005-0000-0000-00009D060000}"/>
    <cellStyle name="计算 2 2 3 3 5" xfId="1662" xr:uid="{00000000-0005-0000-0000-0000AC060000}"/>
    <cellStyle name="计算 2 2 3 5" xfId="1196" xr:uid="{00000000-0005-0000-0000-0000DA040000}"/>
    <cellStyle name="计算 2 2 4 2 2" xfId="3311" xr:uid="{00000000-0005-0000-0000-00001D0D0000}"/>
    <cellStyle name="计算 2 2 4 2 3" xfId="3545" xr:uid="{00000000-0005-0000-0000-0000070E0000}"/>
    <cellStyle name="计算 2 2 4 2 4" xfId="3956" xr:uid="{00000000-0005-0000-0000-0000A20F0000}"/>
    <cellStyle name="计算 2 2 4 2 5" xfId="130" xr:uid="{00000000-0005-0000-0000-000090000000}"/>
    <cellStyle name="计算 2 2 4 2 6" xfId="1684" xr:uid="{00000000-0005-0000-0000-0000C2060000}"/>
    <cellStyle name="计算 2 2 4 3 5" xfId="791" xr:uid="{00000000-0005-0000-0000-000045030000}"/>
    <cellStyle name="计算 2 20 6 2" xfId="4049" xr:uid="{00000000-0005-0000-0000-0000FF0F0000}"/>
    <cellStyle name="计算 2 21 5" xfId="1281" xr:uid="{00000000-0005-0000-0000-00002F050000}"/>
    <cellStyle name="计算 2 3 2 5 3" xfId="932" xr:uid="{00000000-0005-0000-0000-0000D2030000}"/>
    <cellStyle name="计算 2 3 4 3" xfId="1896" xr:uid="{00000000-0005-0000-0000-000096070000}"/>
    <cellStyle name="计算 2 3 4 7" xfId="2324" xr:uid="{00000000-0005-0000-0000-000042090000}"/>
    <cellStyle name="计算 2 4 10" xfId="761" xr:uid="{00000000-0005-0000-0000-000027030000}"/>
    <cellStyle name="计算 2 4 2 2 2 2 2" xfId="1681" xr:uid="{00000000-0005-0000-0000-0000BF060000}"/>
    <cellStyle name="计算 2 4 2 2 3 2 2" xfId="1114" xr:uid="{00000000-0005-0000-0000-000088040000}"/>
    <cellStyle name="计算 2 4 2 2 4 2" xfId="2023" xr:uid="{00000000-0005-0000-0000-000015080000}"/>
    <cellStyle name="计算 2 4 3 4 2" xfId="2327" xr:uid="{00000000-0005-0000-0000-000045090000}"/>
    <cellStyle name="计算 2 4 4 2 2" xfId="286" xr:uid="{00000000-0005-0000-0000-000046010000}"/>
    <cellStyle name="计算 2 4 4 2 3" xfId="302" xr:uid="{00000000-0005-0000-0000-000059010000}"/>
    <cellStyle name="计算 2 4 4 7" xfId="534" xr:uid="{00000000-0005-0000-0000-000044020000}"/>
    <cellStyle name="计算 2 4 5 4 2" xfId="2345" xr:uid="{00000000-0005-0000-0000-000057090000}"/>
    <cellStyle name="计算 2 5 2 2 3 4 2" xfId="2706" xr:uid="{00000000-0005-0000-0000-0000C00A0000}"/>
    <cellStyle name="计算 2 5 2 2 3 4 2 2" xfId="1468" xr:uid="{00000000-0005-0000-0000-0000EA050000}"/>
    <cellStyle name="计算 2 5 2 5" xfId="2796" xr:uid="{00000000-0005-0000-0000-00001A0B0000}"/>
    <cellStyle name="计算 2 5 4 2 2" xfId="2526" xr:uid="{00000000-0005-0000-0000-00000C0A0000}"/>
    <cellStyle name="计算 2 5 7 4" xfId="2932" xr:uid="{00000000-0005-0000-0000-0000A20B0000}"/>
    <cellStyle name="计算 2 5 8" xfId="3118" xr:uid="{00000000-0005-0000-0000-00005C0C0000}"/>
    <cellStyle name="计算 2 5 8 2" xfId="3123" xr:uid="{00000000-0005-0000-0000-0000610C0000}"/>
    <cellStyle name="计算 2 5 9" xfId="3132" xr:uid="{00000000-0005-0000-0000-00006A0C0000}"/>
    <cellStyle name="计算 2 6 2 5" xfId="812" xr:uid="{00000000-0005-0000-0000-00005A030000}"/>
    <cellStyle name="计算 2 6 8 2" xfId="3153" xr:uid="{00000000-0005-0000-0000-00007F0C0000}"/>
    <cellStyle name="计算 2 6 9 2" xfId="3168" xr:uid="{00000000-0005-0000-0000-00008E0C0000}"/>
    <cellStyle name="计算 2 7 2 2 3 2" xfId="640" xr:uid="{00000000-0005-0000-0000-0000AE020000}"/>
    <cellStyle name="计算 2 7 2 2 3 2 2" xfId="660" xr:uid="{00000000-0005-0000-0000-0000C2020000}"/>
    <cellStyle name="计算 2 7 2 2 3 3" xfId="3929" xr:uid="{00000000-0005-0000-0000-0000870F0000}"/>
    <cellStyle name="计算 2 7 2 2 3 3 2" xfId="316" xr:uid="{00000000-0005-0000-0000-000069010000}"/>
    <cellStyle name="计算 2 7 2 2 3 4" xfId="3934" xr:uid="{00000000-0005-0000-0000-00008C0F0000}"/>
    <cellStyle name="计算 2 7 8 2" xfId="3243" xr:uid="{00000000-0005-0000-0000-0000D90C0000}"/>
    <cellStyle name="计算 2 7 9 2" xfId="3265" xr:uid="{00000000-0005-0000-0000-0000EF0C0000}"/>
    <cellStyle name="计算 2 8 2 2 8" xfId="2661" xr:uid="{00000000-0005-0000-0000-0000930A0000}"/>
    <cellStyle name="计算 2 8 4 2 2" xfId="40" xr:uid="{00000000-0005-0000-0000-00002F000000}"/>
    <cellStyle name="计算 2 8 4 4 2" xfId="1392" xr:uid="{00000000-0005-0000-0000-00009E050000}"/>
    <cellStyle name="计算 2 8 7" xfId="906" xr:uid="{00000000-0005-0000-0000-0000B8030000}"/>
    <cellStyle name="计算 2 8 8" xfId="2708" xr:uid="{00000000-0005-0000-0000-0000C20A0000}"/>
    <cellStyle name="计算 2 9 10" xfId="1205" xr:uid="{00000000-0005-0000-0000-0000E3040000}"/>
    <cellStyle name="计算 2 9 2 2 2 3" xfId="2635" xr:uid="{00000000-0005-0000-0000-0000790A0000}"/>
    <cellStyle name="计算 2 9 2 2 2 4" xfId="605" xr:uid="{00000000-0005-0000-0000-00008B020000}"/>
    <cellStyle name="计算 2 9 2 2 3 3" xfId="2644" xr:uid="{00000000-0005-0000-0000-0000820A0000}"/>
    <cellStyle name="计算 2 9 2 2 3 4" xfId="2161" xr:uid="{00000000-0005-0000-0000-00009F080000}"/>
    <cellStyle name="计算 2 9 3 2 2 2" xfId="1815" xr:uid="{00000000-0005-0000-0000-000045070000}"/>
    <cellStyle name="计算 2 9 3 3 4" xfId="1730" xr:uid="{00000000-0005-0000-0000-0000F0060000}"/>
    <cellStyle name="计算 3 10 2 2" xfId="2184" xr:uid="{00000000-0005-0000-0000-0000B6080000}"/>
    <cellStyle name="计算 3 10 2 2 4" xfId="3599" xr:uid="{00000000-0005-0000-0000-00003D0E0000}"/>
    <cellStyle name="计算 3 10 2 3 4" xfId="3603" xr:uid="{00000000-0005-0000-0000-0000410E0000}"/>
    <cellStyle name="计算 3 10 2 4" xfId="2215" xr:uid="{00000000-0005-0000-0000-0000D5080000}"/>
    <cellStyle name="计算 3 10 3 2 4" xfId="3622" xr:uid="{00000000-0005-0000-0000-0000540E0000}"/>
    <cellStyle name="计算 3 10 3 4" xfId="75" xr:uid="{00000000-0005-0000-0000-000055000000}"/>
    <cellStyle name="计算 3 11 10 2" xfId="2558" xr:uid="{00000000-0005-0000-0000-00002C0A0000}"/>
    <cellStyle name="计算 3 11 2 2 7" xfId="984" xr:uid="{00000000-0005-0000-0000-000006040000}"/>
    <cellStyle name="计算 3 11 2 5 2" xfId="93" xr:uid="{00000000-0005-0000-0000-000067000000}"/>
    <cellStyle name="计算 3 11 6 2" xfId="609" xr:uid="{00000000-0005-0000-0000-00008F020000}"/>
    <cellStyle name="计算 3 11 7 2" xfId="2163" xr:uid="{00000000-0005-0000-0000-0000A1080000}"/>
    <cellStyle name="计算 3 11 8 2" xfId="1446" xr:uid="{00000000-0005-0000-0000-0000D4050000}"/>
    <cellStyle name="计算 3 11 9 2" xfId="248" xr:uid="{00000000-0005-0000-0000-00001A010000}"/>
    <cellStyle name="计算 3 12 2 2 7" xfId="144" xr:uid="{00000000-0005-0000-0000-0000A1000000}"/>
    <cellStyle name="计算 3 12 2 3 5" xfId="1099" xr:uid="{00000000-0005-0000-0000-000079040000}"/>
    <cellStyle name="计算 3 12 2 3 6" xfId="1118" xr:uid="{00000000-0005-0000-0000-00008C040000}"/>
    <cellStyle name="计算 3 12 2 4 5" xfId="1695" xr:uid="{00000000-0005-0000-0000-0000CD060000}"/>
    <cellStyle name="计算 3 12 3 3 2 2" xfId="2738" xr:uid="{00000000-0005-0000-0000-0000E00A0000}"/>
    <cellStyle name="计算 3 12 3 3 5" xfId="1570" xr:uid="{00000000-0005-0000-0000-000050060000}"/>
    <cellStyle name="计算 3 12 3 3 6" xfId="210" xr:uid="{00000000-0005-0000-0000-0000EE000000}"/>
    <cellStyle name="计算 3 12 6 2" xfId="3370" xr:uid="{00000000-0005-0000-0000-0000580D0000}"/>
    <cellStyle name="计算 3 12 8" xfId="1478" xr:uid="{00000000-0005-0000-0000-0000F4050000}"/>
    <cellStyle name="计算 3 13 2 2 5" xfId="1849" xr:uid="{00000000-0005-0000-0000-000067070000}"/>
    <cellStyle name="计算 3 13 2 3 5" xfId="617" xr:uid="{00000000-0005-0000-0000-000097020000}"/>
    <cellStyle name="计算 3 13 4 6" xfId="2289" xr:uid="{00000000-0005-0000-0000-00001F090000}"/>
    <cellStyle name="计算 3 14 2 5 2" xfId="2346" xr:uid="{00000000-0005-0000-0000-000058090000}"/>
    <cellStyle name="计算 3 14 9" xfId="2875" xr:uid="{00000000-0005-0000-0000-0000690B0000}"/>
    <cellStyle name="计算 3 15" xfId="362" xr:uid="{00000000-0005-0000-0000-000098010000}"/>
    <cellStyle name="计算 3 15 9" xfId="2882" xr:uid="{00000000-0005-0000-0000-0000700B0000}"/>
    <cellStyle name="计算 3 16 6" xfId="2392" xr:uid="{00000000-0005-0000-0000-000086090000}"/>
    <cellStyle name="计算 3 16 9" xfId="504" xr:uid="{00000000-0005-0000-0000-000026020000}"/>
    <cellStyle name="计算 3 17 9" xfId="3456" xr:uid="{00000000-0005-0000-0000-0000AE0D0000}"/>
    <cellStyle name="计算 3 18 9" xfId="668" xr:uid="{00000000-0005-0000-0000-0000CA020000}"/>
    <cellStyle name="计算 3 2 2 2 4" xfId="475" xr:uid="{00000000-0005-0000-0000-000009020000}"/>
    <cellStyle name="计算 3 2 2 2 4 2" xfId="480" xr:uid="{00000000-0005-0000-0000-00000E020000}"/>
    <cellStyle name="计算 3 2 2 7" xfId="559" xr:uid="{00000000-0005-0000-0000-00005D020000}"/>
    <cellStyle name="计算 3 2 3 3 2 2" xfId="2529" xr:uid="{00000000-0005-0000-0000-00000F0A0000}"/>
    <cellStyle name="计算 3 2 3 3 3 2" xfId="2687" xr:uid="{00000000-0005-0000-0000-0000AD0A0000}"/>
    <cellStyle name="计算 3 2 3 3 4 2" xfId="2770" xr:uid="{00000000-0005-0000-0000-0000000B0000}"/>
    <cellStyle name="计算 3 2 3 9" xfId="2910" xr:uid="{00000000-0005-0000-0000-00008C0B0000}"/>
    <cellStyle name="计算 3 2 4 9" xfId="3963" xr:uid="{00000000-0005-0000-0000-0000A90F0000}"/>
    <cellStyle name="计算 3 20" xfId="361" xr:uid="{00000000-0005-0000-0000-000097010000}"/>
    <cellStyle name="计算 3 20 9" xfId="2883" xr:uid="{00000000-0005-0000-0000-0000710B0000}"/>
    <cellStyle name="计算 3 21 6" xfId="2393" xr:uid="{00000000-0005-0000-0000-000087090000}"/>
    <cellStyle name="计算 3 3 2 2 2 2 2" xfId="741" xr:uid="{00000000-0005-0000-0000-000013030000}"/>
    <cellStyle name="计算 3 3 2 2 2 4" xfId="838" xr:uid="{00000000-0005-0000-0000-000074030000}"/>
    <cellStyle name="计算 3 3 2 2 2 4 2" xfId="2299" xr:uid="{00000000-0005-0000-0000-000029090000}"/>
    <cellStyle name="计算 3 3 2 2 2 5" xfId="3087" xr:uid="{00000000-0005-0000-0000-00003D0C0000}"/>
    <cellStyle name="计算 3 3 2 2 2 6" xfId="2122" xr:uid="{00000000-0005-0000-0000-000078080000}"/>
    <cellStyle name="计算 3 3 2 2 3 4" xfId="3094" xr:uid="{00000000-0005-0000-0000-0000440C0000}"/>
    <cellStyle name="计算 3 3 2 2 3 5" xfId="3098" xr:uid="{00000000-0005-0000-0000-0000480C0000}"/>
    <cellStyle name="计算 3 3 2 2 3 6" xfId="2135" xr:uid="{00000000-0005-0000-0000-000085080000}"/>
    <cellStyle name="计算 3 3 2 3 3 2" xfId="1845" xr:uid="{00000000-0005-0000-0000-000063070000}"/>
    <cellStyle name="计算 3 3 2 3 4 2" xfId="624" xr:uid="{00000000-0005-0000-0000-00009E020000}"/>
    <cellStyle name="计算 3 3 2 5 2" xfId="2172" xr:uid="{00000000-0005-0000-0000-0000AA080000}"/>
    <cellStyle name="计算 3 3 2 5 3" xfId="2185" xr:uid="{00000000-0005-0000-0000-0000B7080000}"/>
    <cellStyle name="计算 3 3 2 7" xfId="418" xr:uid="{00000000-0005-0000-0000-0000D0010000}"/>
    <cellStyle name="计算 3 3 2 8" xfId="2439" xr:uid="{00000000-0005-0000-0000-0000B5090000}"/>
    <cellStyle name="计算 3 3 3 9" xfId="2625" xr:uid="{00000000-0005-0000-0000-00006F0A0000}"/>
    <cellStyle name="计算 3 4 10" xfId="1320" xr:uid="{00000000-0005-0000-0000-000056050000}"/>
    <cellStyle name="计算 3 4 13" xfId="196" xr:uid="{00000000-0005-0000-0000-0000DE000000}"/>
    <cellStyle name="计算 3 4 2 2 2 2 2" xfId="2209" xr:uid="{00000000-0005-0000-0000-0000CF080000}"/>
    <cellStyle name="计算 3 4 2 2 3 3" xfId="3650" xr:uid="{00000000-0005-0000-0000-0000700E0000}"/>
    <cellStyle name="计算 3 4 3 4 2" xfId="1704" xr:uid="{00000000-0005-0000-0000-0000D6060000}"/>
    <cellStyle name="计算 3 4 3 9" xfId="2146" xr:uid="{00000000-0005-0000-0000-000090080000}"/>
    <cellStyle name="计算 3 4 5 4 2" xfId="2552" xr:uid="{00000000-0005-0000-0000-0000260A0000}"/>
    <cellStyle name="计算 3 5 11" xfId="998" xr:uid="{00000000-0005-0000-0000-000014040000}"/>
    <cellStyle name="计算 3 5 12" xfId="1835" xr:uid="{00000000-0005-0000-0000-000059070000}"/>
    <cellStyle name="计算 3 5 3 9" xfId="2869" xr:uid="{00000000-0005-0000-0000-0000630B0000}"/>
    <cellStyle name="计算 3 5 7" xfId="1667" xr:uid="{00000000-0005-0000-0000-0000B1060000}"/>
    <cellStyle name="计算 3 5 7 2" xfId="1672" xr:uid="{00000000-0005-0000-0000-0000B6060000}"/>
    <cellStyle name="计算 3 5 7 3" xfId="2537" xr:uid="{00000000-0005-0000-0000-0000170A0000}"/>
    <cellStyle name="计算 3 6 2 6 2" xfId="389" xr:uid="{00000000-0005-0000-0000-0000B3010000}"/>
    <cellStyle name="计算 3 6 3 3 2 2" xfId="2617" xr:uid="{00000000-0005-0000-0000-0000670A0000}"/>
    <cellStyle name="计算 3 6 3 3 3 2" xfId="260" xr:uid="{00000000-0005-0000-0000-000028010000}"/>
    <cellStyle name="计算 3 6 8 2" xfId="3394" xr:uid="{00000000-0005-0000-0000-0000700D0000}"/>
    <cellStyle name="计算 3 6 9 2" xfId="3417" xr:uid="{00000000-0005-0000-0000-0000870D0000}"/>
    <cellStyle name="计算 3 7 2 3" xfId="972" xr:uid="{00000000-0005-0000-0000-0000FA030000}"/>
    <cellStyle name="计算 3 7 3 3 2 2" xfId="2953" xr:uid="{00000000-0005-0000-0000-0000B70B0000}"/>
    <cellStyle name="计算 3 7 3 3 3 2" xfId="2986" xr:uid="{00000000-0005-0000-0000-0000D80B0000}"/>
    <cellStyle name="计算 3 8 2 2 7" xfId="3742" xr:uid="{00000000-0005-0000-0000-0000CC0E0000}"/>
    <cellStyle name="计算 3 8 2 2 8" xfId="3747" xr:uid="{00000000-0005-0000-0000-0000D10E0000}"/>
    <cellStyle name="计算 3 8 2 3 3" xfId="337" xr:uid="{00000000-0005-0000-0000-00007F010000}"/>
    <cellStyle name="计算 3 8 2 3 3 2" xfId="441" xr:uid="{00000000-0005-0000-0000-0000E7010000}"/>
    <cellStyle name="计算 3 8 2 4" xfId="2921" xr:uid="{00000000-0005-0000-0000-0000970B0000}"/>
    <cellStyle name="计算 3 8 2 5" xfId="149" xr:uid="{00000000-0005-0000-0000-0000A7000000}"/>
    <cellStyle name="计算 3 8 2 6" xfId="103" xr:uid="{00000000-0005-0000-0000-000072000000}"/>
    <cellStyle name="计算 3 8 3 2 5" xfId="3802" xr:uid="{00000000-0005-0000-0000-0000080F0000}"/>
    <cellStyle name="计算 3 8 3 3 2 2" xfId="1603" xr:uid="{00000000-0005-0000-0000-000071060000}"/>
    <cellStyle name="计算 3 8 3 3 3 2" xfId="1237" xr:uid="{00000000-0005-0000-0000-000003050000}"/>
    <cellStyle name="计算 3 8 3 4" xfId="1011" xr:uid="{00000000-0005-0000-0000-000021040000}"/>
    <cellStyle name="计算 3 8 3 5" xfId="2065" xr:uid="{00000000-0005-0000-0000-00003F080000}"/>
    <cellStyle name="计算 3 8 3 6" xfId="2925" xr:uid="{00000000-0005-0000-0000-00009B0B0000}"/>
    <cellStyle name="计算 3 8 3 9" xfId="134" xr:uid="{00000000-0005-0000-0000-000095000000}"/>
    <cellStyle name="计算 3 8 4 4" xfId="200" xr:uid="{00000000-0005-0000-0000-0000E3000000}"/>
    <cellStyle name="计算 3 8 5 2 2" xfId="4039" xr:uid="{00000000-0005-0000-0000-0000F50F0000}"/>
    <cellStyle name="计算 3 8 5 2 3" xfId="3384" xr:uid="{00000000-0005-0000-0000-0000660D0000}"/>
    <cellStyle name="计算 3 8 5 3 2" xfId="167" xr:uid="{00000000-0005-0000-0000-0000BB000000}"/>
    <cellStyle name="计算 3 8 5 4 2" xfId="4055" xr:uid="{00000000-0005-0000-0000-000005100000}"/>
    <cellStyle name="计算 3 9 2 10" xfId="3984" xr:uid="{00000000-0005-0000-0000-0000BE0F0000}"/>
    <cellStyle name="计算 3 9 2 2 7" xfId="1285" xr:uid="{00000000-0005-0000-0000-000033050000}"/>
    <cellStyle name="计算 3 9 2 4" xfId="3104" xr:uid="{00000000-0005-0000-0000-00004E0C0000}"/>
    <cellStyle name="计算 3 9 2 5" xfId="2034" xr:uid="{00000000-0005-0000-0000-000020080000}"/>
    <cellStyle name="计算 3 9 2 6" xfId="2050" xr:uid="{00000000-0005-0000-0000-000030080000}"/>
    <cellStyle name="计算 3 9 3 2 2 2" xfId="606" xr:uid="{00000000-0005-0000-0000-00008C020000}"/>
    <cellStyle name="计算 3 9 3 3 2 2" xfId="3367" xr:uid="{00000000-0005-0000-0000-0000550D0000}"/>
    <cellStyle name="计算 3 9 3 3 4" xfId="1480" xr:uid="{00000000-0005-0000-0000-0000F6050000}"/>
    <cellStyle name="计算 3 9 3 4" xfId="1676" xr:uid="{00000000-0005-0000-0000-0000BA060000}"/>
    <cellStyle name="计算 3 9 3 5" xfId="2636" xr:uid="{00000000-0005-0000-0000-00007A0A0000}"/>
    <cellStyle name="计算 3 9 3 6" xfId="607" xr:uid="{00000000-0005-0000-0000-00008D020000}"/>
    <cellStyle name="计算 3 9 4 4" xfId="3107" xr:uid="{00000000-0005-0000-0000-0000510C0000}"/>
    <cellStyle name="解释性文本 2 2 2" xfId="3498" xr:uid="{00000000-0005-0000-0000-0000D80D0000}"/>
    <cellStyle name="解释性文本 2 3 2" xfId="3511" xr:uid="{00000000-0005-0000-0000-0000E50D0000}"/>
    <cellStyle name="借出原因 2 2 2" xfId="1335" xr:uid="{00000000-0005-0000-0000-000065050000}"/>
    <cellStyle name="借出原因 2 2 2 2" xfId="1341" xr:uid="{00000000-0005-0000-0000-00006B050000}"/>
    <cellStyle name="借出原因 2 2 2 2 2" xfId="4107" xr:uid="{00000000-0005-0000-0000-000039100000}"/>
    <cellStyle name="借出原因 2 2 2 3" xfId="4108" xr:uid="{00000000-0005-0000-0000-00003A100000}"/>
    <cellStyle name="借出原因 2 2 3" xfId="910" xr:uid="{00000000-0005-0000-0000-0000BC030000}"/>
    <cellStyle name="借出原因 2 2 3 2" xfId="922" xr:uid="{00000000-0005-0000-0000-0000C8030000}"/>
    <cellStyle name="借出原因 2 2 4" xfId="1345" xr:uid="{00000000-0005-0000-0000-00006F050000}"/>
    <cellStyle name="借出原因 2 2 4 2" xfId="1348" xr:uid="{00000000-0005-0000-0000-000072050000}"/>
    <cellStyle name="借出原因 2 2 5" xfId="1353" xr:uid="{00000000-0005-0000-0000-000077050000}"/>
    <cellStyle name="借出原因 2 2 5 2" xfId="898" xr:uid="{00000000-0005-0000-0000-0000B0030000}"/>
    <cellStyle name="警告文本 3" xfId="1055" xr:uid="{00000000-0005-0000-0000-00004D040000}"/>
    <cellStyle name="千位_ 方正PC" xfId="1838" xr:uid="{00000000-0005-0000-0000-00005C070000}"/>
    <cellStyle name="千位分隔" xfId="35" builtinId="3"/>
    <cellStyle name="千位分隔 2" xfId="4109" xr:uid="{00000000-0005-0000-0000-00003B100000}"/>
    <cellStyle name="千位分隔 2 2" xfId="4110" xr:uid="{00000000-0005-0000-0000-00003C100000}"/>
    <cellStyle name="千位分隔 3" xfId="4111" xr:uid="{00000000-0005-0000-0000-00003D100000}"/>
    <cellStyle name="千位分隔 4" xfId="4112" xr:uid="{00000000-0005-0000-0000-00003E100000}"/>
    <cellStyle name="千位分隔 5" xfId="4113" xr:uid="{00000000-0005-0000-0000-00003F100000}"/>
    <cellStyle name="千位分隔 5 2 5" xfId="2505" xr:uid="{00000000-0005-0000-0000-0000F7090000}"/>
    <cellStyle name="千位分隔 5 2 5 2" xfId="4114" xr:uid="{00000000-0005-0000-0000-000040100000}"/>
    <cellStyle name="千位分隔 6" xfId="745" xr:uid="{00000000-0005-0000-0000-000017030000}"/>
    <cellStyle name="千位分隔 6 2" xfId="4115" xr:uid="{00000000-0005-0000-0000-000041100000}"/>
    <cellStyle name="千位分隔 6 2 4 2" xfId="1951" xr:uid="{00000000-0005-0000-0000-0000CD070000}"/>
    <cellStyle name="千位分隔 6 2 4 2 2" xfId="1954" xr:uid="{00000000-0005-0000-0000-0000D0070000}"/>
    <cellStyle name="千位分隔 6 5" xfId="273" xr:uid="{00000000-0005-0000-0000-000037010000}"/>
    <cellStyle name="千位分隔 6 5 2" xfId="4116" xr:uid="{00000000-0005-0000-0000-000042100000}"/>
    <cellStyle name="千位分隔 7" xfId="4117" xr:uid="{00000000-0005-0000-0000-000043100000}"/>
    <cellStyle name="强调文字颜色 1 3 2" xfId="713" xr:uid="{00000000-0005-0000-0000-0000F7020000}"/>
    <cellStyle name="强调文字颜色 1 3 2 2" xfId="719" xr:uid="{00000000-0005-0000-0000-0000FD020000}"/>
    <cellStyle name="强调文字颜色 2 2 2" xfId="929" xr:uid="{00000000-0005-0000-0000-0000CF030000}"/>
    <cellStyle name="强调文字颜色 2 2 2 2" xfId="937" xr:uid="{00000000-0005-0000-0000-0000D7030000}"/>
    <cellStyle name="强调文字颜色 2 2 2 2 2" xfId="762" xr:uid="{00000000-0005-0000-0000-000028030000}"/>
    <cellStyle name="强调文字颜色 2 2 3" xfId="1094" xr:uid="{00000000-0005-0000-0000-000074040000}"/>
    <cellStyle name="强调文字颜色 2 2 3 2" xfId="1110" xr:uid="{00000000-0005-0000-0000-000084040000}"/>
    <cellStyle name="强调文字颜色 4 2" xfId="1007" xr:uid="{00000000-0005-0000-0000-00001D040000}"/>
    <cellStyle name="日期" xfId="62" xr:uid="{00000000-0005-0000-0000-000047000000}"/>
    <cellStyle name="日期 2" xfId="1018" xr:uid="{00000000-0005-0000-0000-000028040000}"/>
    <cellStyle name="适中 3" xfId="2581" xr:uid="{00000000-0005-0000-0000-0000430A0000}"/>
    <cellStyle name="输出 2 10 2 2 4 2" xfId="708" xr:uid="{00000000-0005-0000-0000-0000F2020000}"/>
    <cellStyle name="输出 2 10 2 5 2" xfId="3487" xr:uid="{00000000-0005-0000-0000-0000CD0D0000}"/>
    <cellStyle name="输出 2 11 3" xfId="3479" xr:uid="{00000000-0005-0000-0000-0000C50D0000}"/>
    <cellStyle name="输出 2 11 5 2" xfId="2178" xr:uid="{00000000-0005-0000-0000-0000B0080000}"/>
    <cellStyle name="输出 2 11 5 3" xfId="2201" xr:uid="{00000000-0005-0000-0000-0000C7080000}"/>
    <cellStyle name="输出 2 11 5 4" xfId="2213" xr:uid="{00000000-0005-0000-0000-0000D3080000}"/>
    <cellStyle name="输出 2 11 6 3" xfId="2465" xr:uid="{00000000-0005-0000-0000-0000CF090000}"/>
    <cellStyle name="输出 2 11 7 3" xfId="4034" xr:uid="{00000000-0005-0000-0000-0000F00F0000}"/>
    <cellStyle name="输出 2 12 2 2 3 2 2" xfId="1424" xr:uid="{00000000-0005-0000-0000-0000BE050000}"/>
    <cellStyle name="输出 2 12 2 2 3 3 2" xfId="1442" xr:uid="{00000000-0005-0000-0000-0000D0050000}"/>
    <cellStyle name="输出 2 12 2 2 3 4 2" xfId="806" xr:uid="{00000000-0005-0000-0000-000054030000}"/>
    <cellStyle name="输出 2 12 3" xfId="3608" xr:uid="{00000000-0005-0000-0000-0000460E0000}"/>
    <cellStyle name="输出 2 12 3 3 5" xfId="2046" xr:uid="{00000000-0005-0000-0000-00002C080000}"/>
    <cellStyle name="输出 2 12 3 6" xfId="770" xr:uid="{00000000-0005-0000-0000-000030030000}"/>
    <cellStyle name="输出 2 12 3 6 2" xfId="777" xr:uid="{00000000-0005-0000-0000-000037030000}"/>
    <cellStyle name="输出 2 12 5 6" xfId="445" xr:uid="{00000000-0005-0000-0000-0000EB010000}"/>
    <cellStyle name="输出 2 13 2 2 3 2" xfId="3219" xr:uid="{00000000-0005-0000-0000-0000C10C0000}"/>
    <cellStyle name="输出 2 13 2 2 4 2" xfId="3229" xr:uid="{00000000-0005-0000-0000-0000CB0C0000}"/>
    <cellStyle name="输出 2 13 2 3 3 2" xfId="3324" xr:uid="{00000000-0005-0000-0000-00002A0D0000}"/>
    <cellStyle name="输出 2 13 3" xfId="423" xr:uid="{00000000-0005-0000-0000-0000D5010000}"/>
    <cellStyle name="输出 2 13 3 2" xfId="171" xr:uid="{00000000-0005-0000-0000-0000C1000000}"/>
    <cellStyle name="输出 2 14 2 3 2" xfId="2758" xr:uid="{00000000-0005-0000-0000-0000F40A0000}"/>
    <cellStyle name="输出 2 14 2 3 2 2" xfId="2760" xr:uid="{00000000-0005-0000-0000-0000F60A0000}"/>
    <cellStyle name="输出 2 14 2 3 3" xfId="554" xr:uid="{00000000-0005-0000-0000-000058020000}"/>
    <cellStyle name="输出 2 14 2 3 3 2" xfId="567" xr:uid="{00000000-0005-0000-0000-000065020000}"/>
    <cellStyle name="输出 2 14 2 3 4" xfId="2762" xr:uid="{00000000-0005-0000-0000-0000F80A0000}"/>
    <cellStyle name="输出 2 14 2 3 4 2" xfId="306" xr:uid="{00000000-0005-0000-0000-00005E010000}"/>
    <cellStyle name="输出 2 14 2 3 5" xfId="2765" xr:uid="{00000000-0005-0000-0000-0000FB0A0000}"/>
    <cellStyle name="输出 2 14 3" xfId="3724" xr:uid="{00000000-0005-0000-0000-0000BA0E0000}"/>
    <cellStyle name="输出 2 15 3" xfId="3785" xr:uid="{00000000-0005-0000-0000-0000F70E0000}"/>
    <cellStyle name="输出 2 16 2 3" xfId="2004" xr:uid="{00000000-0005-0000-0000-000002080000}"/>
    <cellStyle name="输出 2 16 3 3" xfId="2253" xr:uid="{00000000-0005-0000-0000-0000FB080000}"/>
    <cellStyle name="输出 2 17 2 4 2" xfId="1449" xr:uid="{00000000-0005-0000-0000-0000D7050000}"/>
    <cellStyle name="输出 2 2 3 3 5" xfId="59" xr:uid="{00000000-0005-0000-0000-000044000000}"/>
    <cellStyle name="输出 2 2 6 2 2" xfId="920" xr:uid="{00000000-0005-0000-0000-0000C6030000}"/>
    <cellStyle name="输出 2 20 3" xfId="3786" xr:uid="{00000000-0005-0000-0000-0000F80E0000}"/>
    <cellStyle name="输出 2 21 2 3" xfId="2005" xr:uid="{00000000-0005-0000-0000-000003080000}"/>
    <cellStyle name="输出 2 21 3 3" xfId="2254" xr:uid="{00000000-0005-0000-0000-0000FC080000}"/>
    <cellStyle name="输出 2 3 2 2 2" xfId="138" xr:uid="{00000000-0005-0000-0000-00009B000000}"/>
    <cellStyle name="输出 2 3 2 6" xfId="2609" xr:uid="{00000000-0005-0000-0000-00005F0A0000}"/>
    <cellStyle name="输出 2 3 3 5" xfId="572" xr:uid="{00000000-0005-0000-0000-00006A020000}"/>
    <cellStyle name="输出 2 4 2 3 2" xfId="643" xr:uid="{00000000-0005-0000-0000-0000B1020000}"/>
    <cellStyle name="输出 2 4 2 3 2 2" xfId="655" xr:uid="{00000000-0005-0000-0000-0000BD020000}"/>
    <cellStyle name="输出 2 4 2 3 3" xfId="3932" xr:uid="{00000000-0005-0000-0000-00008A0F0000}"/>
    <cellStyle name="输出 2 4 2 3 4" xfId="3936" xr:uid="{00000000-0005-0000-0000-00008E0F0000}"/>
    <cellStyle name="输出 2 4 2 3 5" xfId="3938" xr:uid="{00000000-0005-0000-0000-0000900F0000}"/>
    <cellStyle name="输出 2 4 3 3 2" xfId="2966" xr:uid="{00000000-0005-0000-0000-0000C40B0000}"/>
    <cellStyle name="输出 2 4 3 3 2 2" xfId="2969" xr:uid="{00000000-0005-0000-0000-0000C70B0000}"/>
    <cellStyle name="输出 2 4 3 3 3" xfId="2979" xr:uid="{00000000-0005-0000-0000-0000D10B0000}"/>
    <cellStyle name="输出 2 4 3 3 4" xfId="2989" xr:uid="{00000000-0005-0000-0000-0000DB0B0000}"/>
    <cellStyle name="输出 2 4 3 3 5" xfId="2331" xr:uid="{00000000-0005-0000-0000-000049090000}"/>
    <cellStyle name="输出 2 5 2" xfId="3745" xr:uid="{00000000-0005-0000-0000-0000CF0E0000}"/>
    <cellStyle name="输出 2 5 3" xfId="3751" xr:uid="{00000000-0005-0000-0000-0000D50E0000}"/>
    <cellStyle name="输出 2 5 3 3 3" xfId="3702" xr:uid="{00000000-0005-0000-0000-0000A40E0000}"/>
    <cellStyle name="输出 2 5 5" xfId="1408" xr:uid="{00000000-0005-0000-0000-0000AE050000}"/>
    <cellStyle name="输出 2 6 2 4 2" xfId="523" xr:uid="{00000000-0005-0000-0000-000039020000}"/>
    <cellStyle name="输出 2 6 2 4 2 2" xfId="1641" xr:uid="{00000000-0005-0000-0000-000097060000}"/>
    <cellStyle name="输出 2 6 2 4 3" xfId="2585" xr:uid="{00000000-0005-0000-0000-0000470A0000}"/>
    <cellStyle name="输出 2 6 2 4 3 2" xfId="2593" xr:uid="{00000000-0005-0000-0000-00004F0A0000}"/>
    <cellStyle name="输出 2 6 2 4 4" xfId="2595" xr:uid="{00000000-0005-0000-0000-0000510A0000}"/>
    <cellStyle name="输出 2 6 2 4 4 2" xfId="2602" xr:uid="{00000000-0005-0000-0000-0000580A0000}"/>
    <cellStyle name="输出 2 6 2 4 5" xfId="2604" xr:uid="{00000000-0005-0000-0000-00005A0A0000}"/>
    <cellStyle name="输出 2 7 2 2 2 2 2" xfId="2190" xr:uid="{00000000-0005-0000-0000-0000BC080000}"/>
    <cellStyle name="输出 2 7 2 2 2 3 2" xfId="2458" xr:uid="{00000000-0005-0000-0000-0000C8090000}"/>
    <cellStyle name="输出 2 7 2 2 2 4 2" xfId="2631" xr:uid="{00000000-0005-0000-0000-0000750A0000}"/>
    <cellStyle name="输出 2 7 2 3 5" xfId="1788" xr:uid="{00000000-0005-0000-0000-00002A070000}"/>
    <cellStyle name="输出 2 7 2 4 5" xfId="2347" xr:uid="{00000000-0005-0000-0000-000059090000}"/>
    <cellStyle name="输出 2 9 2 4" xfId="2981" xr:uid="{00000000-0005-0000-0000-0000D30B0000}"/>
    <cellStyle name="输出 2 9 2 5" xfId="3880" xr:uid="{00000000-0005-0000-0000-0000560F0000}"/>
    <cellStyle name="输出 2 9 8 2" xfId="1334" xr:uid="{00000000-0005-0000-0000-000064050000}"/>
    <cellStyle name="输出 2 9 8 3" xfId="911" xr:uid="{00000000-0005-0000-0000-0000BD030000}"/>
    <cellStyle name="输出 2 9 8 4" xfId="1344" xr:uid="{00000000-0005-0000-0000-00006E050000}"/>
    <cellStyle name="输出 3 10 2 8" xfId="1513" xr:uid="{00000000-0005-0000-0000-000017060000}"/>
    <cellStyle name="输出 3 10 2 9" xfId="1316" xr:uid="{00000000-0005-0000-0000-000052050000}"/>
    <cellStyle name="输出 3 10 3 2" xfId="2131" xr:uid="{00000000-0005-0000-0000-000081080000}"/>
    <cellStyle name="输出 3 10 3 2 3 2" xfId="528" xr:uid="{00000000-0005-0000-0000-00003E020000}"/>
    <cellStyle name="输出 3 10 3 3" xfId="3661" xr:uid="{00000000-0005-0000-0000-00007B0E0000}"/>
    <cellStyle name="输出 3 10 4 2" xfId="2141" xr:uid="{00000000-0005-0000-0000-00008B080000}"/>
    <cellStyle name="输出 3 10 4 3" xfId="3693" xr:uid="{00000000-0005-0000-0000-00009B0E0000}"/>
    <cellStyle name="输出 3 10 4 5" xfId="2373" xr:uid="{00000000-0005-0000-0000-000073090000}"/>
    <cellStyle name="输出 3 11 2 7 2" xfId="3651" xr:uid="{00000000-0005-0000-0000-0000710E0000}"/>
    <cellStyle name="输出 3 11 5 2" xfId="869" xr:uid="{00000000-0005-0000-0000-000093030000}"/>
    <cellStyle name="输出 3 11 5 2 2" xfId="1661" xr:uid="{00000000-0005-0000-0000-0000AB060000}"/>
    <cellStyle name="输出 3 11 5 3" xfId="878" xr:uid="{00000000-0005-0000-0000-00009C030000}"/>
    <cellStyle name="输出 3 11 6 2" xfId="99" xr:uid="{00000000-0005-0000-0000-00006E000000}"/>
    <cellStyle name="输出 3 11 6 3" xfId="1587" xr:uid="{00000000-0005-0000-0000-000061060000}"/>
    <cellStyle name="输出 3 11 7 2" xfId="454" xr:uid="{00000000-0005-0000-0000-0000F4010000}"/>
    <cellStyle name="输出 3 11 7 3" xfId="1716" xr:uid="{00000000-0005-0000-0000-0000E2060000}"/>
    <cellStyle name="输出 3 11 8 2" xfId="1495" xr:uid="{00000000-0005-0000-0000-000005060000}"/>
    <cellStyle name="输出 3 11 8 3" xfId="1506" xr:uid="{00000000-0005-0000-0000-000010060000}"/>
    <cellStyle name="输出 3 11 9 2" xfId="1516" xr:uid="{00000000-0005-0000-0000-00001A060000}"/>
    <cellStyle name="输出 3 12 5 5" xfId="1458" xr:uid="{00000000-0005-0000-0000-0000E0050000}"/>
    <cellStyle name="输出 3 12 7 2" xfId="11" xr:uid="{00000000-0005-0000-0000-00000F000000}"/>
    <cellStyle name="输出 3 12 7 3" xfId="1859" xr:uid="{00000000-0005-0000-0000-000071070000}"/>
    <cellStyle name="输出 3 12 7 4" xfId="1875" xr:uid="{00000000-0005-0000-0000-000081070000}"/>
    <cellStyle name="输出 3 12 8 2" xfId="1527" xr:uid="{00000000-0005-0000-0000-000025060000}"/>
    <cellStyle name="输出 3 12 8 3" xfId="1548" xr:uid="{00000000-0005-0000-0000-00003A060000}"/>
    <cellStyle name="输出 3 12 8 4" xfId="1998" xr:uid="{00000000-0005-0000-0000-0000FC070000}"/>
    <cellStyle name="输出 3 12 9 2" xfId="2224" xr:uid="{00000000-0005-0000-0000-0000DE080000}"/>
    <cellStyle name="输出 3 13" xfId="332" xr:uid="{00000000-0005-0000-0000-00007A010000}"/>
    <cellStyle name="输出 3 17 2 5" xfId="2947" xr:uid="{00000000-0005-0000-0000-0000B10B0000}"/>
    <cellStyle name="输出 3 17 3 5" xfId="991" xr:uid="{00000000-0005-0000-0000-00000D040000}"/>
    <cellStyle name="输出 3 18 2 2" xfId="282" xr:uid="{00000000-0005-0000-0000-000040010000}"/>
    <cellStyle name="输出 3 18 2 2 2" xfId="1228" xr:uid="{00000000-0005-0000-0000-0000FA040000}"/>
    <cellStyle name="输出 3 18 2 3" xfId="229" xr:uid="{00000000-0005-0000-0000-000003010000}"/>
    <cellStyle name="输出 3 18 2 3 2" xfId="1271" xr:uid="{00000000-0005-0000-0000-000025050000}"/>
    <cellStyle name="输出 3 18 2 4" xfId="189" xr:uid="{00000000-0005-0000-0000-0000D5000000}"/>
    <cellStyle name="输出 3 18 2 4 2" xfId="1306" xr:uid="{00000000-0005-0000-0000-000048050000}"/>
    <cellStyle name="输出 3 18 2 5" xfId="2960" xr:uid="{00000000-0005-0000-0000-0000BE0B0000}"/>
    <cellStyle name="输出 3 18 3 5" xfId="2972" xr:uid="{00000000-0005-0000-0000-0000CA0B0000}"/>
    <cellStyle name="输出 3 2 2 4 3 2" xfId="170" xr:uid="{00000000-0005-0000-0000-0000BF000000}"/>
    <cellStyle name="输出 3 23 2 2" xfId="281" xr:uid="{00000000-0005-0000-0000-00003F010000}"/>
    <cellStyle name="输出 3 3 2 2 2" xfId="1523" xr:uid="{00000000-0005-0000-0000-000021060000}"/>
    <cellStyle name="输出 3 3 2 3 2" xfId="2219" xr:uid="{00000000-0005-0000-0000-0000D9080000}"/>
    <cellStyle name="输出 3 3 2 6" xfId="4064" xr:uid="{00000000-0005-0000-0000-00000E100000}"/>
    <cellStyle name="输出 3 3 5" xfId="538" xr:uid="{00000000-0005-0000-0000-000048020000}"/>
    <cellStyle name="输出 3 3 8 2" xfId="310" xr:uid="{00000000-0005-0000-0000-000062010000}"/>
    <cellStyle name="输出 3 3 9 2" xfId="979" xr:uid="{00000000-0005-0000-0000-000001040000}"/>
    <cellStyle name="输出 3 4 10 2" xfId="82" xr:uid="{00000000-0005-0000-0000-00005C000000}"/>
    <cellStyle name="输出 3 4 2 2 5" xfId="3147" xr:uid="{00000000-0005-0000-0000-0000790C0000}"/>
    <cellStyle name="输出 3 4 2 3 3" xfId="661" xr:uid="{00000000-0005-0000-0000-0000C3020000}"/>
    <cellStyle name="输出 3 4 2 3 5" xfId="3149" xr:uid="{00000000-0005-0000-0000-00007B0C0000}"/>
    <cellStyle name="输出 3 4 2 4 3" xfId="315" xr:uid="{00000000-0005-0000-0000-000068010000}"/>
    <cellStyle name="输出 3 4 2 4 3 2" xfId="1082" xr:uid="{00000000-0005-0000-0000-000068040000}"/>
    <cellStyle name="输出 3 4 2 4 4" xfId="3799" xr:uid="{00000000-0005-0000-0000-0000050F0000}"/>
    <cellStyle name="输出 3 4 2 4 5" xfId="488" xr:uid="{00000000-0005-0000-0000-000016020000}"/>
    <cellStyle name="输出 3 4 3 2 2" xfId="1574" xr:uid="{00000000-0005-0000-0000-000054060000}"/>
    <cellStyle name="输出 3 4 3 2 2 2" xfId="1578" xr:uid="{00000000-0005-0000-0000-000058060000}"/>
    <cellStyle name="输出 3 4 3 2 3" xfId="725" xr:uid="{00000000-0005-0000-0000-000003030000}"/>
    <cellStyle name="输出 3 4 3 2 3 2" xfId="1594" xr:uid="{00000000-0005-0000-0000-000068060000}"/>
    <cellStyle name="输出 3 4 3 2 4" xfId="1600" xr:uid="{00000000-0005-0000-0000-00006E060000}"/>
    <cellStyle name="输出 3 4 3 2 4 2" xfId="1606" xr:uid="{00000000-0005-0000-0000-000074060000}"/>
    <cellStyle name="输出 3 4 3 2 5" xfId="1614" xr:uid="{00000000-0005-0000-0000-00007C060000}"/>
    <cellStyle name="输出 3 4 3 2 6" xfId="1009" xr:uid="{00000000-0005-0000-0000-00001F040000}"/>
    <cellStyle name="输出 3 4 4 2 2" xfId="555" xr:uid="{00000000-0005-0000-0000-000059020000}"/>
    <cellStyle name="输出 3 4 4 2 3" xfId="2763" xr:uid="{00000000-0005-0000-0000-0000F90A0000}"/>
    <cellStyle name="输出 3 4 5" xfId="3949" xr:uid="{00000000-0005-0000-0000-00009B0F0000}"/>
    <cellStyle name="输出 3 5" xfId="862" xr:uid="{00000000-0005-0000-0000-00008C030000}"/>
    <cellStyle name="输出 3 5 12" xfId="1844" xr:uid="{00000000-0005-0000-0000-000062070000}"/>
    <cellStyle name="输出 3 5 2" xfId="1654" xr:uid="{00000000-0005-0000-0000-0000A4060000}"/>
    <cellStyle name="输出 3 5 3" xfId="2588" xr:uid="{00000000-0005-0000-0000-00004A0A0000}"/>
    <cellStyle name="输出 3 5 5" xfId="22" xr:uid="{00000000-0005-0000-0000-00001B000000}"/>
    <cellStyle name="输出 3 5 6 4" xfId="973" xr:uid="{00000000-0005-0000-0000-0000FB030000}"/>
    <cellStyle name="输出 3 5 8 2" xfId="1293" xr:uid="{00000000-0005-0000-0000-00003B050000}"/>
    <cellStyle name="输出 3 6" xfId="890" xr:uid="{00000000-0005-0000-0000-0000A8030000}"/>
    <cellStyle name="输出 3 6 11" xfId="55" xr:uid="{00000000-0005-0000-0000-00003F000000}"/>
    <cellStyle name="输出 3 6 2 2 2 2 2" xfId="2589" xr:uid="{00000000-0005-0000-0000-00004B0A0000}"/>
    <cellStyle name="输出 3 6 2 2 2 3 2" xfId="2597" xr:uid="{00000000-0005-0000-0000-0000530A0000}"/>
    <cellStyle name="输出 3 6 2 2 3 2 2" xfId="702" xr:uid="{00000000-0005-0000-0000-0000EC020000}"/>
    <cellStyle name="输出 3 6 2 2 3 3 2" xfId="38" xr:uid="{00000000-0005-0000-0000-00002D000000}"/>
    <cellStyle name="输出 3 6 2 5" xfId="2009" xr:uid="{00000000-0005-0000-0000-000007080000}"/>
    <cellStyle name="输出 3 6 2 5 2" xfId="961" xr:uid="{00000000-0005-0000-0000-0000EF030000}"/>
    <cellStyle name="输出 3 6 2 5 3" xfId="2879" xr:uid="{00000000-0005-0000-0000-00006D0B0000}"/>
    <cellStyle name="输出 3 6 2 6" xfId="1969" xr:uid="{00000000-0005-0000-0000-0000DF070000}"/>
    <cellStyle name="输出 3 6 2 6 2" xfId="1624" xr:uid="{00000000-0005-0000-0000-000086060000}"/>
    <cellStyle name="输出 3 6 2 7" xfId="1982" xr:uid="{00000000-0005-0000-0000-0000EC070000}"/>
    <cellStyle name="输出 3 6 2 7 2" xfId="1987" xr:uid="{00000000-0005-0000-0000-0000F1070000}"/>
    <cellStyle name="输出 3 6 2 8" xfId="798" xr:uid="{00000000-0005-0000-0000-00004C030000}"/>
    <cellStyle name="输出 3 6 2 9" xfId="1522" xr:uid="{00000000-0005-0000-0000-000020060000}"/>
    <cellStyle name="输出 3 6 3 5" xfId="2018" xr:uid="{00000000-0005-0000-0000-000010080000}"/>
    <cellStyle name="输出 3 6 3 5 2" xfId="2905" xr:uid="{00000000-0005-0000-0000-0000870B0000}"/>
    <cellStyle name="输出 3 6 3 6" xfId="2175" xr:uid="{00000000-0005-0000-0000-0000AD080000}"/>
    <cellStyle name="输出 3 6 3 6 2" xfId="1908" xr:uid="{00000000-0005-0000-0000-0000A2070000}"/>
    <cellStyle name="输出 3 6 3 7" xfId="2188" xr:uid="{00000000-0005-0000-0000-0000BA080000}"/>
    <cellStyle name="输出 3 6 3 8" xfId="2204" xr:uid="{00000000-0005-0000-0000-0000CA080000}"/>
    <cellStyle name="输出 3 6 4 5" xfId="409" xr:uid="{00000000-0005-0000-0000-0000C7010000}"/>
    <cellStyle name="输出 3 6 4 6" xfId="2437" xr:uid="{00000000-0005-0000-0000-0000B3090000}"/>
    <cellStyle name="输出 3 6 4 7" xfId="2453" xr:uid="{00000000-0005-0000-0000-0000C3090000}"/>
    <cellStyle name="输出 3 6 5 5" xfId="2916" xr:uid="{00000000-0005-0000-0000-0000920B0000}"/>
    <cellStyle name="输出 3 6 5 6" xfId="365" xr:uid="{00000000-0005-0000-0000-00009B010000}"/>
    <cellStyle name="输出 3 7 2 2 2 6" xfId="3200" xr:uid="{00000000-0005-0000-0000-0000AE0C0000}"/>
    <cellStyle name="输出 3 7 2 4 5" xfId="2553" xr:uid="{00000000-0005-0000-0000-0000270A0000}"/>
    <cellStyle name="输出 3 7 2 5" xfId="2257" xr:uid="{00000000-0005-0000-0000-0000FF080000}"/>
    <cellStyle name="输出 3 7 2 5 2" xfId="2109" xr:uid="{00000000-0005-0000-0000-00006B080000}"/>
    <cellStyle name="输出 3 7 2 5 3" xfId="2089" xr:uid="{00000000-0005-0000-0000-000057080000}"/>
    <cellStyle name="输出 3 7 2 6" xfId="1763" xr:uid="{00000000-0005-0000-0000-000011070000}"/>
    <cellStyle name="输出 3 7 2 6 2" xfId="213" xr:uid="{00000000-0005-0000-0000-0000F2000000}"/>
    <cellStyle name="输出 3 7 2 7" xfId="2117" xr:uid="{00000000-0005-0000-0000-000073080000}"/>
    <cellStyle name="输出 3 7 2 7 2" xfId="3044" xr:uid="{00000000-0005-0000-0000-0000120C0000}"/>
    <cellStyle name="输出 3 7 2 8" xfId="2096" xr:uid="{00000000-0005-0000-0000-00005E080000}"/>
    <cellStyle name="输出 3 7 2 9" xfId="3049" xr:uid="{00000000-0005-0000-0000-0000170C0000}"/>
    <cellStyle name="输出 3 7 3 2 2" xfId="784" xr:uid="{00000000-0005-0000-0000-00003E030000}"/>
    <cellStyle name="输出 3 7 3 5" xfId="2276" xr:uid="{00000000-0005-0000-0000-000012090000}"/>
    <cellStyle name="输出 3 7 3 5 2" xfId="3060" xr:uid="{00000000-0005-0000-0000-0000220C0000}"/>
    <cellStyle name="输出 3 7 3 6" xfId="3065" xr:uid="{00000000-0005-0000-0000-0000270C0000}"/>
    <cellStyle name="输出 3 7 3 6 2" xfId="3070" xr:uid="{00000000-0005-0000-0000-00002C0C0000}"/>
    <cellStyle name="输出 3 7 3 7" xfId="216" xr:uid="{00000000-0005-0000-0000-0000F5000000}"/>
    <cellStyle name="输出 3 7 3 8" xfId="3077" xr:uid="{00000000-0005-0000-0000-0000330C0000}"/>
    <cellStyle name="输出 3 7 4 3 2" xfId="742" xr:uid="{00000000-0005-0000-0000-000014030000}"/>
    <cellStyle name="输出 3 7 4 5" xfId="839" xr:uid="{00000000-0005-0000-0000-000075030000}"/>
    <cellStyle name="输出 3 7 4 6" xfId="3088" xr:uid="{00000000-0005-0000-0000-00003E0C0000}"/>
    <cellStyle name="输出 3 7 4 7" xfId="2123" xr:uid="{00000000-0005-0000-0000-000079080000}"/>
    <cellStyle name="输出 3 7 5 5" xfId="3095" xr:uid="{00000000-0005-0000-0000-0000450C0000}"/>
    <cellStyle name="输出 3 7 5 6" xfId="3099" xr:uid="{00000000-0005-0000-0000-0000490C0000}"/>
    <cellStyle name="输出 3 8 2 5" xfId="2520" xr:uid="{00000000-0005-0000-0000-0000060A0000}"/>
    <cellStyle name="输出 3 8 2 5 2" xfId="3232" xr:uid="{00000000-0005-0000-0000-0000CE0C0000}"/>
    <cellStyle name="输出 3 8 2 5 3" xfId="3234" xr:uid="{00000000-0005-0000-0000-0000D00C0000}"/>
    <cellStyle name="输出 3 8 2 6" xfId="3256" xr:uid="{00000000-0005-0000-0000-0000E60C0000}"/>
    <cellStyle name="输出 3 8 2 6 2" xfId="3258" xr:uid="{00000000-0005-0000-0000-0000E80C0000}"/>
    <cellStyle name="输出 3 8 2 7" xfId="3278" xr:uid="{00000000-0005-0000-0000-0000FC0C0000}"/>
    <cellStyle name="输出 3 8 2 7 2" xfId="3287" xr:uid="{00000000-0005-0000-0000-0000050D0000}"/>
    <cellStyle name="输出 3 8 2 8" xfId="3298" xr:uid="{00000000-0005-0000-0000-0000100D0000}"/>
    <cellStyle name="输出 3 8 2 9" xfId="3317" xr:uid="{00000000-0005-0000-0000-0000230D0000}"/>
    <cellStyle name="输出 3 8 3 5" xfId="1216" xr:uid="{00000000-0005-0000-0000-0000EE040000}"/>
    <cellStyle name="输出 3 8 3 5 2" xfId="1869" xr:uid="{00000000-0005-0000-0000-00007B070000}"/>
    <cellStyle name="输出 3 8 3 6" xfId="2822" xr:uid="{00000000-0005-0000-0000-0000340B0000}"/>
    <cellStyle name="输出 3 8 3 6 2" xfId="2007" xr:uid="{00000000-0005-0000-0000-000005080000}"/>
    <cellStyle name="输出 3 8 3 7" xfId="27" xr:uid="{00000000-0005-0000-0000-000021000000}"/>
    <cellStyle name="输出 3 8 3 8" xfId="2825" xr:uid="{00000000-0005-0000-0000-0000370B0000}"/>
    <cellStyle name="输出 3 8 4 5" xfId="2532" xr:uid="{00000000-0005-0000-0000-0000120A0000}"/>
    <cellStyle name="输出 3 8 4 6" xfId="955" xr:uid="{00000000-0005-0000-0000-0000E9030000}"/>
    <cellStyle name="输出 3 8 4 7" xfId="344" xr:uid="{00000000-0005-0000-0000-000086010000}"/>
    <cellStyle name="输出 3 8 5" xfId="3541" xr:uid="{00000000-0005-0000-0000-0000030E0000}"/>
    <cellStyle name="输出 3 8 5 2 2" xfId="3615" xr:uid="{00000000-0005-0000-0000-00004D0E0000}"/>
    <cellStyle name="输出 3 8 5 3" xfId="1843" xr:uid="{00000000-0005-0000-0000-000061070000}"/>
    <cellStyle name="输出 3 8 5 3 2" xfId="2850" xr:uid="{00000000-0005-0000-0000-0000500B0000}"/>
    <cellStyle name="输出 3 8 5 4" xfId="2853" xr:uid="{00000000-0005-0000-0000-0000530B0000}"/>
    <cellStyle name="输出 3 8 5 4 2" xfId="2860" xr:uid="{00000000-0005-0000-0000-00005A0B0000}"/>
    <cellStyle name="输出 3 8 5 5" xfId="1103" xr:uid="{00000000-0005-0000-0000-00007D040000}"/>
    <cellStyle name="输出 3 8 5 6" xfId="2865" xr:uid="{00000000-0005-0000-0000-00005F0B0000}"/>
    <cellStyle name="输出 3 8 6" xfId="563" xr:uid="{00000000-0005-0000-0000-000061020000}"/>
    <cellStyle name="输出 3 8 6 3" xfId="625" xr:uid="{00000000-0005-0000-0000-00009F020000}"/>
    <cellStyle name="输出 3 8 6 4" xfId="651" xr:uid="{00000000-0005-0000-0000-0000B9020000}"/>
    <cellStyle name="输出 3 8 7 2" xfId="2714" xr:uid="{00000000-0005-0000-0000-0000C80A0000}"/>
    <cellStyle name="输出 3 8 7 4" xfId="3388" xr:uid="{00000000-0005-0000-0000-00006A0D0000}"/>
    <cellStyle name="输出 3 8 8 4" xfId="3391" xr:uid="{00000000-0005-0000-0000-00006D0D0000}"/>
    <cellStyle name="输出 3 9 2 5" xfId="3435" xr:uid="{00000000-0005-0000-0000-0000990D0000}"/>
    <cellStyle name="输出 3 9 2 5 2" xfId="3438" xr:uid="{00000000-0005-0000-0000-00009C0D0000}"/>
    <cellStyle name="输出 3 9 2 6" xfId="3443" xr:uid="{00000000-0005-0000-0000-0000A10D0000}"/>
    <cellStyle name="输出 3 9 2 6 2" xfId="824" xr:uid="{00000000-0005-0000-0000-000066030000}"/>
    <cellStyle name="输出 3 9 2 7" xfId="3448" xr:uid="{00000000-0005-0000-0000-0000A60D0000}"/>
    <cellStyle name="输出 3 9 2 7 2" xfId="1189" xr:uid="{00000000-0005-0000-0000-0000D3040000}"/>
    <cellStyle name="输出 3 9 2 8" xfId="3194" xr:uid="{00000000-0005-0000-0000-0000A80C0000}"/>
    <cellStyle name="输出 3 9 2 9" xfId="1900" xr:uid="{00000000-0005-0000-0000-00009A070000}"/>
    <cellStyle name="输出 3 9 3 5" xfId="2682" xr:uid="{00000000-0005-0000-0000-0000A80A0000}"/>
    <cellStyle name="输出 3 9 3 5 2" xfId="505" xr:uid="{00000000-0005-0000-0000-000027020000}"/>
    <cellStyle name="输出 3 9 3 6" xfId="591" xr:uid="{00000000-0005-0000-0000-00007D020000}"/>
    <cellStyle name="输出 3 9 3 6 2" xfId="3457" xr:uid="{00000000-0005-0000-0000-0000AF0D0000}"/>
    <cellStyle name="输出 3 9 3 7" xfId="2889" xr:uid="{00000000-0005-0000-0000-0000770B0000}"/>
    <cellStyle name="输出 3 9 3 8" xfId="3214" xr:uid="{00000000-0005-0000-0000-0000BC0C0000}"/>
    <cellStyle name="输出 3 9 4 5" xfId="2692" xr:uid="{00000000-0005-0000-0000-0000B20A0000}"/>
    <cellStyle name="输出 3 9 4 6" xfId="2896" xr:uid="{00000000-0005-0000-0000-00007E0B0000}"/>
    <cellStyle name="输出 3 9 5 5" xfId="3466" xr:uid="{00000000-0005-0000-0000-0000B80D0000}"/>
    <cellStyle name="输出 3 9 7 4" xfId="3409" xr:uid="{00000000-0005-0000-0000-00007F0D0000}"/>
    <cellStyle name="输出 3 9 8 4" xfId="1377" xr:uid="{00000000-0005-0000-0000-00008F050000}"/>
    <cellStyle name="输入 2 10 3 2" xfId="3292" xr:uid="{00000000-0005-0000-0000-00000A0D0000}"/>
    <cellStyle name="输入 2 10 3 2 2" xfId="3525" xr:uid="{00000000-0005-0000-0000-0000F30D0000}"/>
    <cellStyle name="输入 2 10 3 3" xfId="3531" xr:uid="{00000000-0005-0000-0000-0000F90D0000}"/>
    <cellStyle name="输入 2 10 3 4" xfId="3538" xr:uid="{00000000-0005-0000-0000-0000000E0000}"/>
    <cellStyle name="输入 2 10 3 5" xfId="530" xr:uid="{00000000-0005-0000-0000-000040020000}"/>
    <cellStyle name="输入 2 10 4 2" xfId="3552" xr:uid="{00000000-0005-0000-0000-00000E0E0000}"/>
    <cellStyle name="输入 2 10 5 2" xfId="3583" xr:uid="{00000000-0005-0000-0000-00002D0E0000}"/>
    <cellStyle name="输入 2 11 2 3 3" xfId="2441" xr:uid="{00000000-0005-0000-0000-0000B7090000}"/>
    <cellStyle name="输入 2 11 2 3 3 2" xfId="148" xr:uid="{00000000-0005-0000-0000-0000A6000000}"/>
    <cellStyle name="输入 2 11 2 3 4" xfId="2456" xr:uid="{00000000-0005-0000-0000-0000C6090000}"/>
    <cellStyle name="输入 2 11 2 3 4 2" xfId="2066" xr:uid="{00000000-0005-0000-0000-000040080000}"/>
    <cellStyle name="输入 2 11 2 3 5" xfId="2471" xr:uid="{00000000-0005-0000-0000-0000D5090000}"/>
    <cellStyle name="输入 2 11 2 3 6" xfId="79" xr:uid="{00000000-0005-0000-0000-000059000000}"/>
    <cellStyle name="输入 2 11 2 4 3" xfId="377" xr:uid="{00000000-0005-0000-0000-0000A7010000}"/>
    <cellStyle name="输入 2 11 2 4 3 2" xfId="2035" xr:uid="{00000000-0005-0000-0000-000021080000}"/>
    <cellStyle name="输入 2 11 2 4 4" xfId="2628" xr:uid="{00000000-0005-0000-0000-0000720A0000}"/>
    <cellStyle name="输入 2 11 2 4 4 2" xfId="2637" xr:uid="{00000000-0005-0000-0000-00007B0A0000}"/>
    <cellStyle name="输入 2 11 2 4 5" xfId="1033" xr:uid="{00000000-0005-0000-0000-000037040000}"/>
    <cellStyle name="输入 2 11 2 4 6" xfId="2654" xr:uid="{00000000-0005-0000-0000-00008C0A0000}"/>
    <cellStyle name="输入 2 11 2 5 3" xfId="163" xr:uid="{00000000-0005-0000-0000-0000B6000000}"/>
    <cellStyle name="输入 2 11 3 2" xfId="2273" xr:uid="{00000000-0005-0000-0000-00000F090000}"/>
    <cellStyle name="输入 2 11 3 3 3" xfId="4005" xr:uid="{00000000-0005-0000-0000-0000D30F0000}"/>
    <cellStyle name="输入 2 11 3 3 3 2" xfId="4014" xr:uid="{00000000-0005-0000-0000-0000DC0F0000}"/>
    <cellStyle name="输入 2 11 3 3 4" xfId="2132" xr:uid="{00000000-0005-0000-0000-000082080000}"/>
    <cellStyle name="输入 2 11 3 3 4 2" xfId="2315" xr:uid="{00000000-0005-0000-0000-000039090000}"/>
    <cellStyle name="输入 2 11 3 3 5" xfId="3662" xr:uid="{00000000-0005-0000-0000-00007C0E0000}"/>
    <cellStyle name="输入 2 11 3 3 6" xfId="3677" xr:uid="{00000000-0005-0000-0000-00008B0E0000}"/>
    <cellStyle name="输入 2 11 3 4 3" xfId="4021" xr:uid="{00000000-0005-0000-0000-0000E30F0000}"/>
    <cellStyle name="输入 2 11 4 2" xfId="1208" xr:uid="{00000000-0005-0000-0000-0000E6040000}"/>
    <cellStyle name="输入 2 12 2 3 2" xfId="243" xr:uid="{00000000-0005-0000-0000-000014010000}"/>
    <cellStyle name="输入 2 12 2 3 2 2" xfId="1357" xr:uid="{00000000-0005-0000-0000-00007B050000}"/>
    <cellStyle name="输入 2 12 2 3 3" xfId="255" xr:uid="{00000000-0005-0000-0000-000022010000}"/>
    <cellStyle name="输入 2 12 2 3 3 2" xfId="1167" xr:uid="{00000000-0005-0000-0000-0000BD040000}"/>
    <cellStyle name="输入 2 12 2 3 4" xfId="25" xr:uid="{00000000-0005-0000-0000-00001E000000}"/>
    <cellStyle name="输入 2 12 2 3 4 2" xfId="1428" xr:uid="{00000000-0005-0000-0000-0000C2050000}"/>
    <cellStyle name="输入 2 12 2 3 5" xfId="284" xr:uid="{00000000-0005-0000-0000-000043010000}"/>
    <cellStyle name="输入 2 12 2 3 6" xfId="289" xr:uid="{00000000-0005-0000-0000-00004A010000}"/>
    <cellStyle name="输入 2 12 2 4" xfId="810" xr:uid="{00000000-0005-0000-0000-000058030000}"/>
    <cellStyle name="输入 2 12 2 4 3 2" xfId="3775" xr:uid="{00000000-0005-0000-0000-0000ED0E0000}"/>
    <cellStyle name="输入 2 12 2 4 4 2" xfId="3848" xr:uid="{00000000-0005-0000-0000-0000360F0000}"/>
    <cellStyle name="输入 2 12 2 5 3" xfId="2564" xr:uid="{00000000-0005-0000-0000-0000320A0000}"/>
    <cellStyle name="输入 2 12 3 2" xfId="1485" xr:uid="{00000000-0005-0000-0000-0000FB050000}"/>
    <cellStyle name="输入 2 12 3 5" xfId="817" xr:uid="{00000000-0005-0000-0000-00005F030000}"/>
    <cellStyle name="输入 2 12 4 2" xfId="1087" xr:uid="{00000000-0005-0000-0000-00006D040000}"/>
    <cellStyle name="输入 2 12 4 5" xfId="207" xr:uid="{00000000-0005-0000-0000-0000EB000000}"/>
    <cellStyle name="输入 2 13 3 2" xfId="3752" xr:uid="{00000000-0005-0000-0000-0000D60E0000}"/>
    <cellStyle name="输入 2 13 4 2" xfId="987" xr:uid="{00000000-0005-0000-0000-000009040000}"/>
    <cellStyle name="输入 2 14 2 3 3 2" xfId="395" xr:uid="{00000000-0005-0000-0000-0000B9010000}"/>
    <cellStyle name="输入 2 14 3 2" xfId="2590" xr:uid="{00000000-0005-0000-0000-00004C0A0000}"/>
    <cellStyle name="输入 2 14 3 4" xfId="21" xr:uid="{00000000-0005-0000-0000-00001A000000}"/>
    <cellStyle name="输入 2 14 3 4 2" xfId="267" xr:uid="{00000000-0005-0000-0000-000030010000}"/>
    <cellStyle name="输入 2 14 3 5" xfId="2697" xr:uid="{00000000-0005-0000-0000-0000B70A0000}"/>
    <cellStyle name="输入 2 14 3 6" xfId="1275" xr:uid="{00000000-0005-0000-0000-000029050000}"/>
    <cellStyle name="输入 2 14 4 2" xfId="2598" xr:uid="{00000000-0005-0000-0000-0000540A0000}"/>
    <cellStyle name="输入 2 15 3 2" xfId="703" xr:uid="{00000000-0005-0000-0000-0000ED020000}"/>
    <cellStyle name="输入 2 15 3 4" xfId="125" xr:uid="{00000000-0005-0000-0000-00008A000000}"/>
    <cellStyle name="输入 2 15 4 2" xfId="37" xr:uid="{00000000-0005-0000-0000-00002C000000}"/>
    <cellStyle name="输入 2 16 2 2" xfId="3359" xr:uid="{00000000-0005-0000-0000-00004D0D0000}"/>
    <cellStyle name="输入 2 18 9" xfId="2906" xr:uid="{00000000-0005-0000-0000-0000880B0000}"/>
    <cellStyle name="输入 2 19 9" xfId="1907" xr:uid="{00000000-0005-0000-0000-0000A1070000}"/>
    <cellStyle name="输入 2 20 3 2" xfId="704" xr:uid="{00000000-0005-0000-0000-0000EE020000}"/>
    <cellStyle name="输入 2 20 3 4" xfId="124" xr:uid="{00000000-0005-0000-0000-000089000000}"/>
    <cellStyle name="输入 2 20 4 2" xfId="36" xr:uid="{00000000-0005-0000-0000-00002B000000}"/>
    <cellStyle name="输入 2 21 2 2" xfId="3360" xr:uid="{00000000-0005-0000-0000-00004E0D0000}"/>
    <cellStyle name="输入 2 3 2 2 4 2" xfId="714" xr:uid="{00000000-0005-0000-0000-0000F8020000}"/>
    <cellStyle name="输入 2 3 2 3 3 2" xfId="930" xr:uid="{00000000-0005-0000-0000-0000D0030000}"/>
    <cellStyle name="输入 2 3 2 5 3" xfId="1006" xr:uid="{00000000-0005-0000-0000-00001C040000}"/>
    <cellStyle name="输入 2 3 3 2 2" xfId="56" xr:uid="{00000000-0005-0000-0000-000041000000}"/>
    <cellStyle name="输入 2 3 3 2 2 2" xfId="1023" xr:uid="{00000000-0005-0000-0000-00002D040000}"/>
    <cellStyle name="输入 2 3 3 2 3" xfId="1884" xr:uid="{00000000-0005-0000-0000-00008A070000}"/>
    <cellStyle name="输入 2 3 3 3 3" xfId="560" xr:uid="{00000000-0005-0000-0000-00005E020000}"/>
    <cellStyle name="输入 2 3 4 2 3" xfId="2021" xr:uid="{00000000-0005-0000-0000-000013080000}"/>
    <cellStyle name="输入 2 4 10 2" xfId="3187" xr:uid="{00000000-0005-0000-0000-0000A10C0000}"/>
    <cellStyle name="输入 2 4 12" xfId="873" xr:uid="{00000000-0005-0000-0000-000097030000}"/>
    <cellStyle name="输入 2 6 2" xfId="1333" xr:uid="{00000000-0005-0000-0000-000063050000}"/>
    <cellStyle name="输入 2 6 2 2" xfId="1340" xr:uid="{00000000-0005-0000-0000-00006A050000}"/>
    <cellStyle name="输入 2 6 2 2 2 2 2" xfId="2934" xr:uid="{00000000-0005-0000-0000-0000A40B0000}"/>
    <cellStyle name="输入 2 6 2 3 4" xfId="1792" xr:uid="{00000000-0005-0000-0000-00002E070000}"/>
    <cellStyle name="输入 2 6 2 3 4 2" xfId="1795" xr:uid="{00000000-0005-0000-0000-000031070000}"/>
    <cellStyle name="输入 2 6 3" xfId="912" xr:uid="{00000000-0005-0000-0000-0000BE030000}"/>
    <cellStyle name="输入 2 6 3 2" xfId="923" xr:uid="{00000000-0005-0000-0000-0000C9030000}"/>
    <cellStyle name="输入 2 6 3 2 2 2" xfId="3025" xr:uid="{00000000-0005-0000-0000-0000FF0B0000}"/>
    <cellStyle name="输入 2 6 3 2 3 2" xfId="3052" xr:uid="{00000000-0005-0000-0000-00001A0C0000}"/>
    <cellStyle name="输入 2 6 3 3 2 2" xfId="3204" xr:uid="{00000000-0005-0000-0000-0000B20C0000}"/>
    <cellStyle name="输入 2 6 3 3 3 2" xfId="3320" xr:uid="{00000000-0005-0000-0000-0000260D0000}"/>
    <cellStyle name="输入 2 6 3 3 4 2" xfId="2827" xr:uid="{00000000-0005-0000-0000-0000390B0000}"/>
    <cellStyle name="输入 2 6 4" xfId="1343" xr:uid="{00000000-0005-0000-0000-00006D050000}"/>
    <cellStyle name="输入 2 6 4 2" xfId="1347" xr:uid="{00000000-0005-0000-0000-000071050000}"/>
    <cellStyle name="输入 2 6 5" xfId="1352" xr:uid="{00000000-0005-0000-0000-000076050000}"/>
    <cellStyle name="输入 2 6 5 2" xfId="899" xr:uid="{00000000-0005-0000-0000-0000B1030000}"/>
    <cellStyle name="输入 2 6 6" xfId="1051" xr:uid="{00000000-0005-0000-0000-000049040000}"/>
    <cellStyle name="输入 2 6 6 2" xfId="1061" xr:uid="{00000000-0005-0000-0000-000053040000}"/>
    <cellStyle name="输入 2 7 10 2" xfId="3990" xr:uid="{00000000-0005-0000-0000-0000C40F0000}"/>
    <cellStyle name="输入 2 7 2 3 4" xfId="18" xr:uid="{00000000-0005-0000-0000-000016000000}"/>
    <cellStyle name="输入 2 7 2 3 4 2" xfId="263" xr:uid="{00000000-0005-0000-0000-00002C010000}"/>
    <cellStyle name="输入 2 7 3 3 4 2" xfId="1351" xr:uid="{00000000-0005-0000-0000-000075050000}"/>
    <cellStyle name="输入 2 7 4 2 2" xfId="3357" xr:uid="{00000000-0005-0000-0000-00004B0D0000}"/>
    <cellStyle name="输入 2 7 4 2 3" xfId="3364" xr:uid="{00000000-0005-0000-0000-0000520D0000}"/>
    <cellStyle name="输入 2 7 4 3 2" xfId="3468" xr:uid="{00000000-0005-0000-0000-0000BA0D0000}"/>
    <cellStyle name="输入 2 7 4 4 2" xfId="3601" xr:uid="{00000000-0005-0000-0000-00003F0E0000}"/>
    <cellStyle name="输入 2 8 2 3 4" xfId="2067" xr:uid="{00000000-0005-0000-0000-000041080000}"/>
    <cellStyle name="输入 2 8 2 3 4 2" xfId="2077" xr:uid="{00000000-0005-0000-0000-00004B080000}"/>
    <cellStyle name="输入 2 8 2 9" xfId="1385" xr:uid="{00000000-0005-0000-0000-000097050000}"/>
    <cellStyle name="输入 2 8 3 9" xfId="1978" xr:uid="{00000000-0005-0000-0000-0000E8070000}"/>
    <cellStyle name="输入 2 9 2 3 4" xfId="2316" xr:uid="{00000000-0005-0000-0000-00003A090000}"/>
    <cellStyle name="输入 2 9 2 3 4 2" xfId="2321" xr:uid="{00000000-0005-0000-0000-00003F090000}"/>
    <cellStyle name="输入 2 9 2 4 2 2" xfId="271" xr:uid="{00000000-0005-0000-0000-000034010000}"/>
    <cellStyle name="输入 2 9 2 4 4 2" xfId="2802" xr:uid="{00000000-0005-0000-0000-0000200B0000}"/>
    <cellStyle name="输入 2 9 3 3 2" xfId="1797" xr:uid="{00000000-0005-0000-0000-000033070000}"/>
    <cellStyle name="输入 2 9 3 3 2 2" xfId="1802" xr:uid="{00000000-0005-0000-0000-000038070000}"/>
    <cellStyle name="输入 2 9 3 3 3" xfId="1814" xr:uid="{00000000-0005-0000-0000-000044070000}"/>
    <cellStyle name="输入 2 9 3 3 3 2" xfId="428" xr:uid="{00000000-0005-0000-0000-0000DA010000}"/>
    <cellStyle name="输入 2 9 3 3 4" xfId="1921" xr:uid="{00000000-0005-0000-0000-0000AF070000}"/>
    <cellStyle name="输入 2 9 3 3 4 2" xfId="1926" xr:uid="{00000000-0005-0000-0000-0000B4070000}"/>
    <cellStyle name="输入 2 9 3 3 5" xfId="1930" xr:uid="{00000000-0005-0000-0000-0000B8070000}"/>
    <cellStyle name="输入 2 9 3 3 6" xfId="1941" xr:uid="{00000000-0005-0000-0000-0000C3070000}"/>
    <cellStyle name="输入 2 9 3 7" xfId="1808" xr:uid="{00000000-0005-0000-0000-00003E070000}"/>
    <cellStyle name="输入 2 9 5 6" xfId="734" xr:uid="{00000000-0005-0000-0000-00000C030000}"/>
    <cellStyle name="输入 3 10 2 2 2" xfId="2151" xr:uid="{00000000-0005-0000-0000-000095080000}"/>
    <cellStyle name="输入 3 10 2 2 2 2" xfId="2056" xr:uid="{00000000-0005-0000-0000-000036080000}"/>
    <cellStyle name="输入 3 10 2 2 3" xfId="598" xr:uid="{00000000-0005-0000-0000-000084020000}"/>
    <cellStyle name="输入 3 10 2 2 4" xfId="2157" xr:uid="{00000000-0005-0000-0000-00009B080000}"/>
    <cellStyle name="输入 3 10 2 2 5" xfId="183" xr:uid="{00000000-0005-0000-0000-0000CF000000}"/>
    <cellStyle name="输入 3 10 2 3 2" xfId="3033" xr:uid="{00000000-0005-0000-0000-0000070C0000}"/>
    <cellStyle name="输入 3 10 2 3 2 2" xfId="874" xr:uid="{00000000-0005-0000-0000-000098030000}"/>
    <cellStyle name="输入 3 10 2 3 3" xfId="3038" xr:uid="{00000000-0005-0000-0000-00000C0C0000}"/>
    <cellStyle name="输入 3 10 2 3 4" xfId="3042" xr:uid="{00000000-0005-0000-0000-0000100C0000}"/>
    <cellStyle name="输入 3 10 2 3 5" xfId="1473" xr:uid="{00000000-0005-0000-0000-0000EF050000}"/>
    <cellStyle name="输入 3 10 3 4" xfId="914" xr:uid="{00000000-0005-0000-0000-0000C0030000}"/>
    <cellStyle name="输入 3 11 2 2 2" xfId="3241" xr:uid="{00000000-0005-0000-0000-0000D70C0000}"/>
    <cellStyle name="输入 3 11 2 2 2 2" xfId="2308" xr:uid="{00000000-0005-0000-0000-000032090000}"/>
    <cellStyle name="输入 3 11 2 2 3" xfId="3248" xr:uid="{00000000-0005-0000-0000-0000DE0C0000}"/>
    <cellStyle name="输入 3 11 2 2 4" xfId="3252" xr:uid="{00000000-0005-0000-0000-0000E20C0000}"/>
    <cellStyle name="输入 3 11 2 2 5 2" xfId="3133" xr:uid="{00000000-0005-0000-0000-00006B0C0000}"/>
    <cellStyle name="输入 3 11 2 3 2" xfId="3262" xr:uid="{00000000-0005-0000-0000-0000EC0C0000}"/>
    <cellStyle name="输入 3 11 2 3 2 2" xfId="3269" xr:uid="{00000000-0005-0000-0000-0000F30C0000}"/>
    <cellStyle name="输入 3 11 2 3 3" xfId="3271" xr:uid="{00000000-0005-0000-0000-0000F50C0000}"/>
    <cellStyle name="输入 3 11 2 3 4" xfId="2319" xr:uid="{00000000-0005-0000-0000-00003D090000}"/>
    <cellStyle name="输入 3 11 2 5 2" xfId="3954" xr:uid="{00000000-0005-0000-0000-0000A00F0000}"/>
    <cellStyle name="输入 3 11 2 5 3" xfId="132" xr:uid="{00000000-0005-0000-0000-000092000000}"/>
    <cellStyle name="输入 3 11 3" xfId="1245" xr:uid="{00000000-0005-0000-0000-00000B050000}"/>
    <cellStyle name="输入 3 11 3 2" xfId="2710" xr:uid="{00000000-0005-0000-0000-0000C40A0000}"/>
    <cellStyle name="输入 3 11 3 2 6" xfId="2" xr:uid="{00000000-0005-0000-0000-000003000000}"/>
    <cellStyle name="输入 3 11 4" xfId="2715" xr:uid="{00000000-0005-0000-0000-0000C90A0000}"/>
    <cellStyle name="输入 3 12" xfId="3495" xr:uid="{00000000-0005-0000-0000-0000D50D0000}"/>
    <cellStyle name="输入 3 12 2 2 8" xfId="3627" xr:uid="{00000000-0005-0000-0000-0000590E0000}"/>
    <cellStyle name="输入 3 12 2 2 9" xfId="3633" xr:uid="{00000000-0005-0000-0000-00005F0E0000}"/>
    <cellStyle name="输入 3 12 2 3 5" xfId="836" xr:uid="{00000000-0005-0000-0000-000072030000}"/>
    <cellStyle name="输入 3 12 3 3 6" xfId="951" xr:uid="{00000000-0005-0000-0000-0000E5030000}"/>
    <cellStyle name="输入 3 13 4 6" xfId="360" xr:uid="{00000000-0005-0000-0000-000096010000}"/>
    <cellStyle name="输入 3 14 2 2 3" xfId="2086" xr:uid="{00000000-0005-0000-0000-000054080000}"/>
    <cellStyle name="输入 3 14 2 2 3 2" xfId="2098" xr:uid="{00000000-0005-0000-0000-000060080000}"/>
    <cellStyle name="输入 3 14 2 2 4" xfId="2103" xr:uid="{00000000-0005-0000-0000-000065080000}"/>
    <cellStyle name="输入 3 14 4 6" xfId="1280" xr:uid="{00000000-0005-0000-0000-00002E050000}"/>
    <cellStyle name="输入 3 2" xfId="3253" xr:uid="{00000000-0005-0000-0000-0000E30C0000}"/>
    <cellStyle name="输入 3 2 2 7" xfId="2984" xr:uid="{00000000-0005-0000-0000-0000D60B0000}"/>
    <cellStyle name="输入 3 3 11" xfId="2832" xr:uid="{00000000-0005-0000-0000-00003E0B0000}"/>
    <cellStyle name="输入 3 3 12" xfId="2840" xr:uid="{00000000-0005-0000-0000-0000460B0000}"/>
    <cellStyle name="输入 3 3 2" xfId="3134" xr:uid="{00000000-0005-0000-0000-00006C0C0000}"/>
    <cellStyle name="输入 3 3 2 2 2 3" xfId="1085" xr:uid="{00000000-0005-0000-0000-00006B040000}"/>
    <cellStyle name="输入 3 3 2 2 2 3 2" xfId="1531" xr:uid="{00000000-0005-0000-0000-000029060000}"/>
    <cellStyle name="输入 3 3 2 2 2 4" xfId="1564" xr:uid="{00000000-0005-0000-0000-00004A060000}"/>
    <cellStyle name="输入 3 3 2 2 2 4 2" xfId="1567" xr:uid="{00000000-0005-0000-0000-00004D060000}"/>
    <cellStyle name="输入 3 3 2 2 2 5" xfId="1572" xr:uid="{00000000-0005-0000-0000-000052060000}"/>
    <cellStyle name="输入 3 3 2 2 3" xfId="3351" xr:uid="{00000000-0005-0000-0000-0000450D0000}"/>
    <cellStyle name="输入 3 3 2 2 4" xfId="3354" xr:uid="{00000000-0005-0000-0000-0000480D0000}"/>
    <cellStyle name="输入 3 3 2 4 4" xfId="569" xr:uid="{00000000-0005-0000-0000-000067020000}"/>
    <cellStyle name="输入 3 3 2 4 4 2" xfId="573" xr:uid="{00000000-0005-0000-0000-00006B020000}"/>
    <cellStyle name="输入 3 3 3" xfId="1399" xr:uid="{00000000-0005-0000-0000-0000A5050000}"/>
    <cellStyle name="输入 3 3 3 7" xfId="2789" xr:uid="{00000000-0005-0000-0000-0000130B0000}"/>
    <cellStyle name="输入 3 3 3 8" xfId="2930" xr:uid="{00000000-0005-0000-0000-0000A00B0000}"/>
    <cellStyle name="输入 3 3 3 9" xfId="3109" xr:uid="{00000000-0005-0000-0000-0000530C0000}"/>
    <cellStyle name="输入 3 6 2 2 2 4" xfId="4035" xr:uid="{00000000-0005-0000-0000-0000F10F0000}"/>
    <cellStyle name="输入 3 6 2 4 3 2" xfId="850" xr:uid="{00000000-0005-0000-0000-000080030000}"/>
    <cellStyle name="输入 3 6 2 5 2" xfId="1016" xr:uid="{00000000-0005-0000-0000-000026040000}"/>
    <cellStyle name="输入 3 7 2 2 6 2" xfId="1484" xr:uid="{00000000-0005-0000-0000-0000FA050000}"/>
    <cellStyle name="输入 3 8" xfId="969" xr:uid="{00000000-0005-0000-0000-0000F7030000}"/>
    <cellStyle name="输入 3 8 11" xfId="2414" xr:uid="{00000000-0005-0000-0000-00009C090000}"/>
    <cellStyle name="输入 3 8 2 2" xfId="3916" xr:uid="{00000000-0005-0000-0000-00007A0F0000}"/>
    <cellStyle name="输入 3 8 2 2 2" xfId="3919" xr:uid="{00000000-0005-0000-0000-00007D0F0000}"/>
    <cellStyle name="输入 3 8 2 2 9" xfId="331" xr:uid="{00000000-0005-0000-0000-000079010000}"/>
    <cellStyle name="输入 3 8 2 3" xfId="3922" xr:uid="{00000000-0005-0000-0000-0000800F0000}"/>
    <cellStyle name="输入 3 8 2 4" xfId="3925" xr:uid="{00000000-0005-0000-0000-0000830F0000}"/>
    <cellStyle name="输入 3 8 2 5" xfId="3927" xr:uid="{00000000-0005-0000-0000-0000850F0000}"/>
    <cellStyle name="输入 3 8 5 6" xfId="3512" xr:uid="{00000000-0005-0000-0000-0000E60D0000}"/>
    <cellStyle name="输入 3 8 5 7" xfId="3516" xr:uid="{00000000-0005-0000-0000-0000EA0D0000}"/>
    <cellStyle name="输入 3 9 2 2 3" xfId="386" xr:uid="{00000000-0005-0000-0000-0000B0010000}"/>
    <cellStyle name="输入 3 9 2 2 3 3" xfId="435" xr:uid="{00000000-0005-0000-0000-0000E1010000}"/>
    <cellStyle name="输入 3 9 2 3 3" xfId="2702" xr:uid="{00000000-0005-0000-0000-0000BC0A0000}"/>
    <cellStyle name="输入 3 9 2 3 6" xfId="958" xr:uid="{00000000-0005-0000-0000-0000EC030000}"/>
    <cellStyle name="输入 3 9 2 4 5" xfId="1002" xr:uid="{00000000-0005-0000-0000-000018040000}"/>
    <cellStyle name="输入 3 9 2 4 6" xfId="1629" xr:uid="{00000000-0005-0000-0000-00008B060000}"/>
    <cellStyle name="输入 3 9 9 2" xfId="2804" xr:uid="{00000000-0005-0000-0000-0000220B0000}"/>
    <cellStyle name="数量 6 3" xfId="1895" xr:uid="{00000000-0005-0000-0000-000095070000}"/>
    <cellStyle name="数量 6 3 2" xfId="4118" xr:uid="{00000000-0005-0000-0000-000044100000}"/>
    <cellStyle name="数字 13 2 2 2" xfId="3328" xr:uid="{00000000-0005-0000-0000-00002E0D0000}"/>
    <cellStyle name="数字 14 2 4" xfId="977" xr:uid="{00000000-0005-0000-0000-0000FF030000}"/>
    <cellStyle name="数字 14 2 4 2" xfId="983" xr:uid="{00000000-0005-0000-0000-000005040000}"/>
    <cellStyle name="数字 14 2 5" xfId="1646" xr:uid="{00000000-0005-0000-0000-00009C060000}"/>
    <cellStyle name="数字 14 3" xfId="506" xr:uid="{00000000-0005-0000-0000-000028020000}"/>
    <cellStyle name="数字 14 3 4" xfId="1660" xr:uid="{00000000-0005-0000-0000-0000AA060000}"/>
    <cellStyle name="数字 15 2 2" xfId="3546" xr:uid="{00000000-0005-0000-0000-0000080E0000}"/>
    <cellStyle name="数字 15 2 3" xfId="3957" xr:uid="{00000000-0005-0000-0000-0000A30F0000}"/>
    <cellStyle name="数字 15 2 4" xfId="129" xr:uid="{00000000-0005-0000-0000-00008F000000}"/>
    <cellStyle name="数字 15 2 4 2" xfId="143" xr:uid="{00000000-0005-0000-0000-0000A0000000}"/>
    <cellStyle name="数字 15 2 5" xfId="1683" xr:uid="{00000000-0005-0000-0000-0000C1060000}"/>
    <cellStyle name="数字 15 3" xfId="3458" xr:uid="{00000000-0005-0000-0000-0000B00D0000}"/>
    <cellStyle name="数字 15 3 4" xfId="792" xr:uid="{00000000-0005-0000-0000-000046030000}"/>
    <cellStyle name="数字 16 2 4" xfId="1098" xr:uid="{00000000-0005-0000-0000-000078040000}"/>
    <cellStyle name="数字 16 2 4 2" xfId="1107" xr:uid="{00000000-0005-0000-0000-000081040000}"/>
    <cellStyle name="数字 16 2 5" xfId="1117" xr:uid="{00000000-0005-0000-0000-00008B040000}"/>
    <cellStyle name="数字 16 2 6" xfId="1121" xr:uid="{00000000-0005-0000-0000-00008F040000}"/>
    <cellStyle name="数字 16 3" xfId="669" xr:uid="{00000000-0005-0000-0000-0000CB020000}"/>
    <cellStyle name="数字 16 3 4" xfId="1694" xr:uid="{00000000-0005-0000-0000-0000CC060000}"/>
    <cellStyle name="数字 17 2 4" xfId="1569" xr:uid="{00000000-0005-0000-0000-00004F060000}"/>
    <cellStyle name="数字 17 2 4 2" xfId="89" xr:uid="{00000000-0005-0000-0000-000063000000}"/>
    <cellStyle name="数字 17 2 5" xfId="209" xr:uid="{00000000-0005-0000-0000-0000ED000000}"/>
    <cellStyle name="数字 17 3 4" xfId="1498" xr:uid="{00000000-0005-0000-0000-000008060000}"/>
    <cellStyle name="数字 18 2 4" xfId="1740" xr:uid="{00000000-0005-0000-0000-0000FA060000}"/>
    <cellStyle name="数字 18 2 4 2" xfId="295" xr:uid="{00000000-0005-0000-0000-000051010000}"/>
    <cellStyle name="数字 18 2 5" xfId="688" xr:uid="{00000000-0005-0000-0000-0000DE020000}"/>
    <cellStyle name="数字 18 3 4" xfId="1743" xr:uid="{00000000-0005-0000-0000-0000FD060000}"/>
    <cellStyle name="数字 19 2 4" xfId="381" xr:uid="{00000000-0005-0000-0000-0000AB010000}"/>
    <cellStyle name="数字 19 2 4 2" xfId="1422" xr:uid="{00000000-0005-0000-0000-0000BC050000}"/>
    <cellStyle name="数字 19 2 5" xfId="1774" xr:uid="{00000000-0005-0000-0000-00001C070000}"/>
    <cellStyle name="数字 19 3 4" xfId="61" xr:uid="{00000000-0005-0000-0000-000046000000}"/>
    <cellStyle name="数字 2 2 2 2 3 2" xfId="2179" xr:uid="{00000000-0005-0000-0000-0000B1080000}"/>
    <cellStyle name="数字 2 2 2 6" xfId="1290" xr:uid="{00000000-0005-0000-0000-000038050000}"/>
    <cellStyle name="数字 2 3 2 2 2" xfId="3371" xr:uid="{00000000-0005-0000-0000-0000590D0000}"/>
    <cellStyle name="数字 2 3 2 4" xfId="1477" xr:uid="{00000000-0005-0000-0000-0000F3050000}"/>
    <cellStyle name="数字 2 3 2 6" xfId="1319" xr:uid="{00000000-0005-0000-0000-000055050000}"/>
    <cellStyle name="数字 2 3 4" xfId="2639" xr:uid="{00000000-0005-0000-0000-00007D0A0000}"/>
    <cellStyle name="数字 2 3 5" xfId="610" xr:uid="{00000000-0005-0000-0000-000090020000}"/>
    <cellStyle name="数字 2 4 3 3" xfId="1184" xr:uid="{00000000-0005-0000-0000-0000CE040000}"/>
    <cellStyle name="数字 2 4 4" xfId="2646" xr:uid="{00000000-0005-0000-0000-0000840A0000}"/>
    <cellStyle name="数字 2 4 5" xfId="2164" xr:uid="{00000000-0005-0000-0000-0000A2080000}"/>
    <cellStyle name="数字 2 5 5" xfId="1445" xr:uid="{00000000-0005-0000-0000-0000D3050000}"/>
    <cellStyle name="数字 2 6 5" xfId="247" xr:uid="{00000000-0005-0000-0000-000019010000}"/>
    <cellStyle name="数字 20 2 2" xfId="3547" xr:uid="{00000000-0005-0000-0000-0000090E0000}"/>
    <cellStyle name="数字 20 3" xfId="3459" xr:uid="{00000000-0005-0000-0000-0000B10D0000}"/>
    <cellStyle name="数字 21 3" xfId="670" xr:uid="{00000000-0005-0000-0000-0000CC020000}"/>
    <cellStyle name="数字 3 3 4" xfId="1258" xr:uid="{00000000-0005-0000-0000-000018050000}"/>
    <cellStyle name="数字 3 3 5" xfId="3372" xr:uid="{00000000-0005-0000-0000-00005A0D0000}"/>
    <cellStyle name="数字 4 2 2 3 3 2" xfId="2068" xr:uid="{00000000-0005-0000-0000-000042080000}"/>
    <cellStyle name="数字 4 2 2 5" xfId="2430" xr:uid="{00000000-0005-0000-0000-0000AC090000}"/>
    <cellStyle name="数字 4 2 2 6" xfId="2449" xr:uid="{00000000-0005-0000-0000-0000BF090000}"/>
    <cellStyle name="数字 4 2 4 5" xfId="155" xr:uid="{00000000-0005-0000-0000-0000AD000000}"/>
    <cellStyle name="数字 5 2 2 3 2" xfId="280" xr:uid="{00000000-0005-0000-0000-00003E010000}"/>
    <cellStyle name="数字 5 2 2 3 2 2" xfId="1227" xr:uid="{00000000-0005-0000-0000-0000F9040000}"/>
    <cellStyle name="数字 5 2 2 3 3" xfId="228" xr:uid="{00000000-0005-0000-0000-000002010000}"/>
    <cellStyle name="数字 5 2 2 3 3 2" xfId="1270" xr:uid="{00000000-0005-0000-0000-000024050000}"/>
    <cellStyle name="数字 5 2 2 3 4" xfId="188" xr:uid="{00000000-0005-0000-0000-0000D4000000}"/>
    <cellStyle name="数字 5 2 2 3 5" xfId="2961" xr:uid="{00000000-0005-0000-0000-0000BF0B0000}"/>
    <cellStyle name="数字 6 2 6" xfId="3124" xr:uid="{00000000-0005-0000-0000-0000620C0000}"/>
    <cellStyle name="数字 6 3 3 2" xfId="352" xr:uid="{00000000-0005-0000-0000-00008E010000}"/>
    <cellStyle name="数字 6 3 3 2 2" xfId="3201" xr:uid="{00000000-0005-0000-0000-0000AF0C0000}"/>
    <cellStyle name="数字 6 3 3 3" xfId="3210" xr:uid="{00000000-0005-0000-0000-0000B80C0000}"/>
    <cellStyle name="数字 6 3 3 4" xfId="3224" xr:uid="{00000000-0005-0000-0000-0000C60C0000}"/>
    <cellStyle name="数字 6 3 3 5" xfId="1192" xr:uid="{00000000-0005-0000-0000-0000D6040000}"/>
    <cellStyle name="数字 6 3 4 2" xfId="3299" xr:uid="{00000000-0005-0000-0000-0000110D0000}"/>
    <cellStyle name="数字 6 4 2 3" xfId="328" xr:uid="{00000000-0005-0000-0000-000076010000}"/>
    <cellStyle name="数字 6 4 3 2" xfId="3175" xr:uid="{00000000-0005-0000-0000-0000950C0000}"/>
    <cellStyle name="数字 6 4 4 2" xfId="3195" xr:uid="{00000000-0005-0000-0000-0000A90C0000}"/>
    <cellStyle name="数字 6 5 3 2" xfId="3283" xr:uid="{00000000-0005-0000-0000-0000010D0000}"/>
    <cellStyle name="数字 7 2 2 6" xfId="69" xr:uid="{00000000-0005-0000-0000-00004E000000}"/>
    <cellStyle name="数字 7 2 6" xfId="3154" xr:uid="{00000000-0005-0000-0000-0000800C0000}"/>
    <cellStyle name="数字 7 3 6" xfId="3169" xr:uid="{00000000-0005-0000-0000-00008F0C0000}"/>
    <cellStyle name="数字 8 2 4 2" xfId="2938" xr:uid="{00000000-0005-0000-0000-0000A80B0000}"/>
    <cellStyle name="数字 8 2 4 3" xfId="2942" xr:uid="{00000000-0005-0000-0000-0000AC0B0000}"/>
    <cellStyle name="数字 8 2 5 2" xfId="3236" xr:uid="{00000000-0005-0000-0000-0000D20C0000}"/>
    <cellStyle name="数字 8 2 6" xfId="3244" xr:uid="{00000000-0005-0000-0000-0000DA0C0000}"/>
    <cellStyle name="数字 8 3 6" xfId="3266" xr:uid="{00000000-0005-0000-0000-0000F00C0000}"/>
    <cellStyle name="数字 9 2 2 2 4 2" xfId="3135" xr:uid="{00000000-0005-0000-0000-00006D0C0000}"/>
    <cellStyle name="数字 9 2 2 6" xfId="96" xr:uid="{00000000-0005-0000-0000-00006A000000}"/>
    <cellStyle name="数字 9 2 3 6" xfId="451" xr:uid="{00000000-0005-0000-0000-0000F1010000}"/>
    <cellStyle name="数字 9 2 3 7" xfId="1713" xr:uid="{00000000-0005-0000-0000-0000DF060000}"/>
    <cellStyle name="数字 9 2 4 2 2" xfId="1441" xr:uid="{00000000-0005-0000-0000-0000CF050000}"/>
    <cellStyle name="数字 9 2 4 3 2" xfId="807" xr:uid="{00000000-0005-0000-0000-000055030000}"/>
    <cellStyle name="数字 9 2 4 6" xfId="1492" xr:uid="{00000000-0005-0000-0000-000002060000}"/>
    <cellStyle name="数字 9 3 2 3 2" xfId="735" xr:uid="{00000000-0005-0000-0000-00000D030000}"/>
    <cellStyle name="㼿 10 2" xfId="3687" xr:uid="{00000000-0005-0000-0000-0000950E0000}"/>
    <cellStyle name="㼿 10 2 10" xfId="970" xr:uid="{00000000-0005-0000-0000-0000F8030000}"/>
    <cellStyle name="㼿 10 2 7 2" xfId="301" xr:uid="{00000000-0005-0000-0000-000058010000}"/>
    <cellStyle name="㼿 10 3 3 6" xfId="2739" xr:uid="{00000000-0005-0000-0000-0000E10A0000}"/>
    <cellStyle name="㼿 11 3 3 4" xfId="478" xr:uid="{00000000-0005-0000-0000-00000C020000}"/>
    <cellStyle name="㼿 11 3 3 4 2" xfId="685" xr:uid="{00000000-0005-0000-0000-0000DB020000}"/>
    <cellStyle name="㼿 11 4 2 2" xfId="863" xr:uid="{00000000-0005-0000-0000-00008D030000}"/>
    <cellStyle name="㼿 11 4 2 3" xfId="891" xr:uid="{00000000-0005-0000-0000-0000A9030000}"/>
    <cellStyle name="㼿 11 6 3" xfId="1040" xr:uid="{00000000-0005-0000-0000-00003E040000}"/>
    <cellStyle name="㼿 12 10 2" xfId="1729" xr:uid="{00000000-0005-0000-0000-0000EF060000}"/>
    <cellStyle name="㼿 12 2 2 2 2" xfId="2576" xr:uid="{00000000-0005-0000-0000-00003E0A0000}"/>
    <cellStyle name="㼿 12 2 2 3 2" xfId="1643" xr:uid="{00000000-0005-0000-0000-000099060000}"/>
    <cellStyle name="㼿 12 2 2 3 2 2" xfId="1650" xr:uid="{00000000-0005-0000-0000-0000A0060000}"/>
    <cellStyle name="㼿 12 2 2 3 4" xfId="2786" xr:uid="{00000000-0005-0000-0000-0000100B0000}"/>
    <cellStyle name="㼿 12 2 3 3 2" xfId="1680" xr:uid="{00000000-0005-0000-0000-0000BE060000}"/>
    <cellStyle name="㼿 12 2 4 3 2" xfId="1113" xr:uid="{00000000-0005-0000-0000-000087040000}"/>
    <cellStyle name="㼿 12 2 5 3" xfId="2024" xr:uid="{00000000-0005-0000-0000-000016080000}"/>
    <cellStyle name="㼿 14 10" xfId="1180" xr:uid="{00000000-0005-0000-0000-0000CA040000}"/>
    <cellStyle name="㼿 14 2 2 3" xfId="1005" xr:uid="{00000000-0005-0000-0000-00001B040000}"/>
    <cellStyle name="㼿 18 8" xfId="1277" xr:uid="{00000000-0005-0000-0000-00002B050000}"/>
    <cellStyle name="㼿 18 9" xfId="1151" xr:uid="{00000000-0005-0000-0000-0000AD040000}"/>
    <cellStyle name="㼿 19 2 6" xfId="1384" xr:uid="{00000000-0005-0000-0000-000096050000}"/>
    <cellStyle name="㼿 19 3 6" xfId="1977" xr:uid="{00000000-0005-0000-0000-0000E7070000}"/>
    <cellStyle name="㼿 2 2 2 2 6" xfId="1313" xr:uid="{00000000-0005-0000-0000-00004F050000}"/>
    <cellStyle name="㼿 2 4 2 2" xfId="2306" xr:uid="{00000000-0005-0000-0000-000030090000}"/>
    <cellStyle name="㼿 2 4 2 2 2" xfId="4101" xr:uid="{00000000-0005-0000-0000-000033100000}"/>
    <cellStyle name="㼿 2 4 2 2 3" xfId="4103" xr:uid="{00000000-0005-0000-0000-000035100000}"/>
    <cellStyle name="㼿 2 6 2 2" xfId="2328" xr:uid="{00000000-0005-0000-0000-000046090000}"/>
    <cellStyle name="㼿 3 2" xfId="570" xr:uid="{00000000-0005-0000-0000-000068020000}"/>
    <cellStyle name="㼿 3 2 2" xfId="574" xr:uid="{00000000-0005-0000-0000-00006C020000}"/>
    <cellStyle name="㼿 3 5 3" xfId="2797" xr:uid="{00000000-0005-0000-0000-00001B0B0000}"/>
    <cellStyle name="㼿 4 5 3" xfId="813" xr:uid="{00000000-0005-0000-0000-00005B030000}"/>
    <cellStyle name="㼿 5 2 2 7" xfId="515" xr:uid="{00000000-0005-0000-0000-000031020000}"/>
    <cellStyle name="㼿 6 3 8" xfId="3630" xr:uid="{00000000-0005-0000-0000-00005C0E0000}"/>
    <cellStyle name="㼿 7 2 2 2 4 2" xfId="881" xr:uid="{00000000-0005-0000-0000-00009F030000}"/>
    <cellStyle name="㼿 7 2 2 5 2" xfId="3740" xr:uid="{00000000-0005-0000-0000-0000CA0E0000}"/>
    <cellStyle name="㼿 7 2 2 6 2" xfId="3762" xr:uid="{00000000-0005-0000-0000-0000E00E0000}"/>
    <cellStyle name="㼿 7 2 5 2" xfId="392" xr:uid="{00000000-0005-0000-0000-0000B6010000}"/>
    <cellStyle name="㼿 7 3 2 3" xfId="17" xr:uid="{00000000-0005-0000-0000-000015000000}"/>
    <cellStyle name="㼿 7 3 2 5" xfId="1269" xr:uid="{00000000-0005-0000-0000-000023050000}"/>
    <cellStyle name="㼿 7 3 2 6" xfId="1143" xr:uid="{00000000-0005-0000-0000-0000A5040000}"/>
    <cellStyle name="㼿 7 3 3 2 2" xfId="1391" xr:uid="{00000000-0005-0000-0000-00009D050000}"/>
    <cellStyle name="㼿 7 3 3 5" xfId="1305" xr:uid="{00000000-0005-0000-0000-000047050000}"/>
    <cellStyle name="㼿 7 3 3 6" xfId="1158" xr:uid="{00000000-0005-0000-0000-0000B4040000}"/>
    <cellStyle name="㼿 7 3 5 2" xfId="995" xr:uid="{00000000-0005-0000-0000-000011040000}"/>
    <cellStyle name="㼿 7 3 6 2" xfId="269" xr:uid="{00000000-0005-0000-0000-000032010000}"/>
    <cellStyle name="㼿 7 3 8" xfId="3666" xr:uid="{00000000-0005-0000-0000-0000800E0000}"/>
    <cellStyle name="㼿 8 10 2" xfId="299" xr:uid="{00000000-0005-0000-0000-000056010000}"/>
    <cellStyle name="㼿 8 2 2 5 2" xfId="1046" xr:uid="{00000000-0005-0000-0000-000044040000}"/>
    <cellStyle name="㼿 9 7 2" xfId="1350" xr:uid="{00000000-0005-0000-0000-000074050000}"/>
    <cellStyle name="㼿 9 7 3" xfId="1050" xr:uid="{00000000-0005-0000-0000-000048040000}"/>
    <cellStyle name="㼿_20120531马平路工程量清单（机电） 10 11" xfId="2610" xr:uid="{00000000-0005-0000-0000-0000600A0000}"/>
    <cellStyle name="㼿_20120531马平路工程量清单（机电） 10 2 10" xfId="3284" xr:uid="{00000000-0005-0000-0000-0000020D0000}"/>
    <cellStyle name="㼿_20120531马平路工程量清单（机电） 10 7" xfId="1794" xr:uid="{00000000-0005-0000-0000-000030070000}"/>
    <cellStyle name="㼿_20120531马平路工程量清单（机电） 10 7 2" xfId="1807" xr:uid="{00000000-0005-0000-0000-00003D070000}"/>
    <cellStyle name="㼿_20120531马平路工程量清单（机电） 10 8" xfId="1812" xr:uid="{00000000-0005-0000-0000-000042070000}"/>
    <cellStyle name="㼿_20120531马平路工程量清单（机电） 11 10" xfId="2287" xr:uid="{00000000-0005-0000-0000-00001D090000}"/>
    <cellStyle name="㼿_20120531马平路工程量清单（机电） 11 10 2" xfId="833" xr:uid="{00000000-0005-0000-0000-00006F030000}"/>
    <cellStyle name="㼿_20120531马平路工程量清单（机电） 11 2 10" xfId="3889" xr:uid="{00000000-0005-0000-0000-00005F0F0000}"/>
    <cellStyle name="㼿_20120531马平路工程量清单（机电） 11 2 2 2 2" xfId="3335" xr:uid="{00000000-0005-0000-0000-0000350D0000}"/>
    <cellStyle name="㼿_20120531马平路工程量清单（机电） 11 2 2 2 3" xfId="3337" xr:uid="{00000000-0005-0000-0000-0000370D0000}"/>
    <cellStyle name="㼿_20120531马平路工程量清单（机电） 11 2 2 4" xfId="3768" xr:uid="{00000000-0005-0000-0000-0000E60E0000}"/>
    <cellStyle name="㼿_20120531马平路工程量清单（机电） 11 2 2 5" xfId="3770" xr:uid="{00000000-0005-0000-0000-0000E80E0000}"/>
    <cellStyle name="㼿_20120531马平路工程量清单（机电） 11 2 3 4" xfId="883" xr:uid="{00000000-0005-0000-0000-0000A1030000}"/>
    <cellStyle name="㼿_20120531马平路工程量清单（机电） 11 2 4 4" xfId="1585" xr:uid="{00000000-0005-0000-0000-00005F060000}"/>
    <cellStyle name="㼿_20120531马平路工程量清单（机电） 11 3 2 4" xfId="3842" xr:uid="{00000000-0005-0000-0000-0000300F0000}"/>
    <cellStyle name="㼿_20120531马平路工程量清单（机电） 11 3 2 5" xfId="3846" xr:uid="{00000000-0005-0000-0000-0000340F0000}"/>
    <cellStyle name="㼿_20120531马平路工程量清单（机电） 11 3 3 4" xfId="3856" xr:uid="{00000000-0005-0000-0000-00003E0F0000}"/>
    <cellStyle name="㼿_20120531马平路工程量清单（机电） 11 4 2" xfId="195" xr:uid="{00000000-0005-0000-0000-0000DD000000}"/>
    <cellStyle name="㼿_20120531马平路工程量清单（机电） 11 4 3" xfId="2479" xr:uid="{00000000-0005-0000-0000-0000DD090000}"/>
    <cellStyle name="㼿_20120531马平路工程量清单（机电） 12 3 3" xfId="2640" xr:uid="{00000000-0005-0000-0000-00007E0A0000}"/>
    <cellStyle name="㼿_20120531马平路工程量清单（机电） 12 3 3 5" xfId="2876" xr:uid="{00000000-0005-0000-0000-00006A0B0000}"/>
    <cellStyle name="㼿_20120531马平路工程量清单（机电） 12 3 4" xfId="611" xr:uid="{00000000-0005-0000-0000-000091020000}"/>
    <cellStyle name="㼿_20120531马平路工程量清单（机电） 12 3 5 2" xfId="2394" xr:uid="{00000000-0005-0000-0000-000088090000}"/>
    <cellStyle name="㼿_20120531马平路工程量清单（机电） 12 4 2 3" xfId="1183" xr:uid="{00000000-0005-0000-0000-0000CD040000}"/>
    <cellStyle name="㼿_20120531马平路工程量清单（机电） 12 4 3" xfId="2647" xr:uid="{00000000-0005-0000-0000-0000850A0000}"/>
    <cellStyle name="㼿_20120531马平路工程量清单（机电） 12 4 4" xfId="2165" xr:uid="{00000000-0005-0000-0000-0000A3080000}"/>
    <cellStyle name="㼿_20120531马平路工程量清单（机电） 12 5 4" xfId="1444" xr:uid="{00000000-0005-0000-0000-0000D2050000}"/>
    <cellStyle name="㼿_20120531马平路工程量清单（机电） 12 6 4" xfId="246" xr:uid="{00000000-0005-0000-0000-000018010000}"/>
    <cellStyle name="㼿_20120531马平路工程量清单（机电） 12 7 4" xfId="1309" xr:uid="{00000000-0005-0000-0000-00004B050000}"/>
    <cellStyle name="㼿_20120531马平路工程量清单（机电） 12 8 4" xfId="584" xr:uid="{00000000-0005-0000-0000-000076020000}"/>
    <cellStyle name="㼿_20120531马平路工程量清单（机电） 13 2" xfId="3361" xr:uid="{00000000-0005-0000-0000-00004F0D0000}"/>
    <cellStyle name="㼿_20120531马平路工程量清单（机电） 13 3 3" xfId="1257" xr:uid="{00000000-0005-0000-0000-000017050000}"/>
    <cellStyle name="㼿_20120531马平路工程量清单（机电） 13 3 4" xfId="3373" xr:uid="{00000000-0005-0000-0000-00005B0D0000}"/>
    <cellStyle name="㼿_20120531马平路工程量清单（机电） 14 2 3 5" xfId="154" xr:uid="{00000000-0005-0000-0000-0000AC000000}"/>
    <cellStyle name="㼿_20120531马平路工程量清单（机电） 16 2 5" xfId="3125" xr:uid="{00000000-0005-0000-0000-0000630C0000}"/>
    <cellStyle name="㼿_20120531马平路工程量清单（机电） 16 3 2 2" xfId="351" xr:uid="{00000000-0005-0000-0000-00008D010000}"/>
    <cellStyle name="㼿_20120531马平路工程量清单（机电） 16 3 3 2" xfId="3300" xr:uid="{00000000-0005-0000-0000-0000120D0000}"/>
    <cellStyle name="㼿_20120531马平路工程量清单（机电） 17 2 5" xfId="3155" xr:uid="{00000000-0005-0000-0000-0000810C0000}"/>
    <cellStyle name="㼿_20120531马平路工程量清单（机电） 17 3 5" xfId="3170" xr:uid="{00000000-0005-0000-0000-0000900C0000}"/>
    <cellStyle name="㼿_20120531马平路工程量清单（机电） 18 2 3 2" xfId="2939" xr:uid="{00000000-0005-0000-0000-0000A90B0000}"/>
    <cellStyle name="㼿_20120531马平路工程量清单（机电） 18 2 4 2" xfId="3237" xr:uid="{00000000-0005-0000-0000-0000D30C0000}"/>
    <cellStyle name="㼿_20120531马平路工程量清单（机电） 18 2 5" xfId="3245" xr:uid="{00000000-0005-0000-0000-0000DB0C0000}"/>
    <cellStyle name="㼿_20120531马平路工程量清单（机电） 18 3 5" xfId="3267" xr:uid="{00000000-0005-0000-0000-0000F10C0000}"/>
    <cellStyle name="㼿_20120531马平路工程量清单（机电） 18 6 2" xfId="3575" xr:uid="{00000000-0005-0000-0000-0000250E0000}"/>
    <cellStyle name="㼿_20120531马平路工程量清单（机电） 19 6 2" xfId="2667" xr:uid="{00000000-0005-0000-0000-0000990A0000}"/>
    <cellStyle name="㼿_20120531马平路工程量清单（机电） 2 13" xfId="1649" xr:uid="{00000000-0005-0000-0000-00009F060000}"/>
    <cellStyle name="㼿_20120531马平路工程量清单（机电） 2 2 2 9" xfId="1546" xr:uid="{00000000-0005-0000-0000-000038060000}"/>
    <cellStyle name="㼿_20120531马平路工程量清单（机电） 2 2 3" xfId="1990" xr:uid="{00000000-0005-0000-0000-0000F4070000}"/>
    <cellStyle name="㼿_20120531马平路工程量清单（机电） 2 2 3 3" xfId="3942" xr:uid="{00000000-0005-0000-0000-0000940F0000}"/>
    <cellStyle name="㼿_20120531马平路工程量清单（机电） 2 2 3 3 2" xfId="3944" xr:uid="{00000000-0005-0000-0000-0000960F0000}"/>
    <cellStyle name="㼿_20120531马平路工程量清单（机电） 2 2 3 4" xfId="2015" xr:uid="{00000000-0005-0000-0000-00000D080000}"/>
    <cellStyle name="㼿_20120531马平路工程量清单（机电） 2 2 3 4 2" xfId="2903" xr:uid="{00000000-0005-0000-0000-0000850B0000}"/>
    <cellStyle name="㼿_20120531马平路工程量清单（机电） 2 2 3 5" xfId="2169" xr:uid="{00000000-0005-0000-0000-0000A7080000}"/>
    <cellStyle name="㼿_20120531马平路工程量清单（机电） 2 2 3 6" xfId="2182" xr:uid="{00000000-0005-0000-0000-0000B4080000}"/>
    <cellStyle name="㼿_20120531马平路工程量清单（机电） 2 2 4 3" xfId="2291" xr:uid="{00000000-0005-0000-0000-000021090000}"/>
    <cellStyle name="㼿_20120531马平路工程量清单（机电） 2 2 4 3 2" xfId="2442" xr:uid="{00000000-0005-0000-0000-0000B8090000}"/>
    <cellStyle name="㼿_20120531马平路工程量清单（机电） 2 2 4 4" xfId="416" xr:uid="{00000000-0005-0000-0000-0000CE010000}"/>
    <cellStyle name="㼿_20120531马平路工程量清单（机电） 2 2 4 4 2" xfId="376" xr:uid="{00000000-0005-0000-0000-0000A6010000}"/>
    <cellStyle name="㼿_20120531马平路工程量清单（机电） 2 2 4 5" xfId="2431" xr:uid="{00000000-0005-0000-0000-0000AD090000}"/>
    <cellStyle name="㼿_20120531马平路工程量清单（机电） 2 2 4 6" xfId="2450" xr:uid="{00000000-0005-0000-0000-0000C0090000}"/>
    <cellStyle name="㼿_20120531马平路工程量清单（机电） 2 2 5 3" xfId="3998" xr:uid="{00000000-0005-0000-0000-0000CC0F0000}"/>
    <cellStyle name="㼿_20120531马平路工程量清单（机电） 2 3 3" xfId="1533" xr:uid="{00000000-0005-0000-0000-00002B060000}"/>
    <cellStyle name="㼿_20120531马平路工程量清单（机电） 2 4 3 4 2" xfId="1873" xr:uid="{00000000-0005-0000-0000-00007F070000}"/>
    <cellStyle name="㼿_20120531马平路工程量清单（机电） 2 7 2" xfId="2293" xr:uid="{00000000-0005-0000-0000-000023090000}"/>
    <cellStyle name="㼿_20120531马平路工程量清单（机电） 2 7 3" xfId="414" xr:uid="{00000000-0005-0000-0000-0000CC010000}"/>
    <cellStyle name="㼿_20120531马平路工程量清单（机电） 2 7 4" xfId="2433" xr:uid="{00000000-0005-0000-0000-0000AF090000}"/>
    <cellStyle name="㼿_20120531马平路工程量清单（机电） 21 2 5" xfId="3126" xr:uid="{00000000-0005-0000-0000-0000640C0000}"/>
    <cellStyle name="㼿_20120531马平路工程量清单（机电） 21 3 2 2" xfId="350" xr:uid="{00000000-0005-0000-0000-00008C010000}"/>
    <cellStyle name="㼿_20120531马平路工程量清单（机电） 21 3 3 2" xfId="3301" xr:uid="{00000000-0005-0000-0000-0000130D0000}"/>
    <cellStyle name="㼿_20120531马平路工程量清单（机电） 3 2 3 5" xfId="746" xr:uid="{00000000-0005-0000-0000-000018030000}"/>
    <cellStyle name="㼿_20120531马平路工程量清单（机电） 4" xfId="974" xr:uid="{00000000-0005-0000-0000-0000FC030000}"/>
    <cellStyle name="㼿_20120531马平路工程量清单（机电） 5 2 2 2 4" xfId="2885" xr:uid="{00000000-0005-0000-0000-0000730B0000}"/>
    <cellStyle name="㼿_20120531马平路工程量清单（机电） 5 2 2 3 2" xfId="2400" xr:uid="{00000000-0005-0000-0000-00008E090000}"/>
    <cellStyle name="㼿_20120531马平路工程量清单（机电） 5 2 2 3 2 2" xfId="2408" xr:uid="{00000000-0005-0000-0000-000096090000}"/>
    <cellStyle name="㼿_20120531马平路工程量清单（机电） 5 2 2 3 3" xfId="544" xr:uid="{00000000-0005-0000-0000-00004E020000}"/>
    <cellStyle name="㼿_20120531马平路工程量清单（机电） 5 2 2 3 3 2" xfId="1891" xr:uid="{00000000-0005-0000-0000-000091070000}"/>
    <cellStyle name="㼿_20120531马平路工程量清单（机电） 5 2 2 3 4" xfId="510" xr:uid="{00000000-0005-0000-0000-00002C020000}"/>
    <cellStyle name="㼿_20120531马平路工程量清单（机电） 5 2 2 3 4 2" xfId="2420" xr:uid="{00000000-0005-0000-0000-0000A2090000}"/>
    <cellStyle name="㼿_20120531马平路工程量清单（机电） 5 2 2 3 5" xfId="2423" xr:uid="{00000000-0005-0000-0000-0000A5090000}"/>
    <cellStyle name="㼿_20120531马平路工程量清单（机电） 5 5 2 2" xfId="1791" xr:uid="{00000000-0005-0000-0000-00002D070000}"/>
    <cellStyle name="㼿_20120531马平路工程量清单（机电） 5 5 4 2" xfId="826" xr:uid="{00000000-0005-0000-0000-000068030000}"/>
    <cellStyle name="㼿_20120531马平路工程量清单（机电） 6 10 2" xfId="462" xr:uid="{00000000-0005-0000-0000-0000FC010000}"/>
    <cellStyle name="㼿_20120531马平路工程量清单（机电） 6 13" xfId="676" xr:uid="{00000000-0005-0000-0000-0000D2020000}"/>
    <cellStyle name="㼿_20120531马平路工程量清单（机电） 6 2 2 2 4" xfId="2147" xr:uid="{00000000-0005-0000-0000-000091080000}"/>
    <cellStyle name="㼿_20120531马平路工程量清单（机电） 6 2 2 3 4" xfId="2057" xr:uid="{00000000-0005-0000-0000-000037080000}"/>
    <cellStyle name="㼿_20120531马平路工程量清单（机电） 6 4" xfId="1175" xr:uid="{00000000-0005-0000-0000-0000C5040000}"/>
    <cellStyle name="㼿_20120531马平路工程量清单（机电） 6 4 2" xfId="1396" xr:uid="{00000000-0005-0000-0000-0000A2050000}"/>
    <cellStyle name="㼿_20120531马平路工程量清单（机电） 6 4 2 2" xfId="1405" xr:uid="{00000000-0005-0000-0000-0000AB050000}"/>
    <cellStyle name="㼿_20120531马平路工程量清单（机电） 6 5" xfId="1411" xr:uid="{00000000-0005-0000-0000-0000B1050000}"/>
    <cellStyle name="㼿_20120531马平路工程量清单（机电） 6 5 2" xfId="1413" xr:uid="{00000000-0005-0000-0000-0000B3050000}"/>
    <cellStyle name="㼿_20120531马平路工程量清单（机电） 6 5 2 2" xfId="16" xr:uid="{00000000-0005-0000-0000-000014000000}"/>
    <cellStyle name="㼿_20120531马平路工程量清单（机电） 6 5 4 2" xfId="65" xr:uid="{00000000-0005-0000-0000-00004A000000}"/>
    <cellStyle name="㼿_20120531马平路工程量清单（机电） 6 7 2" xfId="3967" xr:uid="{00000000-0005-0000-0000-0000AD0F0000}"/>
    <cellStyle name="㼿_20120531马平路工程量清单（机电） 6 7 3" xfId="3589" xr:uid="{00000000-0005-0000-0000-0000330E0000}"/>
    <cellStyle name="㼿_20120531马平路工程量清单（机电） 6 7 4" xfId="3595" xr:uid="{00000000-0005-0000-0000-0000390E0000}"/>
    <cellStyle name="㼿_20120531马平路工程量清单（机电） 7 2 2 2 4" xfId="3239" xr:uid="{00000000-0005-0000-0000-0000D50C0000}"/>
    <cellStyle name="㼿_20120531马平路工程量清单（机电） 7 2 2 3 4" xfId="2309" xr:uid="{00000000-0005-0000-0000-000033090000}"/>
    <cellStyle name="㼿_20120531马平路工程量清单（机电） 7 2 3 2" xfId="620" xr:uid="{00000000-0005-0000-0000-00009A020000}"/>
    <cellStyle name="㼿_20120531马平路工程量清单（机电） 7 2 3 2 2" xfId="628" xr:uid="{00000000-0005-0000-0000-0000A2020000}"/>
    <cellStyle name="㼿_20120531马平路工程量清单（机电） 7 2 3 3" xfId="648" xr:uid="{00000000-0005-0000-0000-0000B6020000}"/>
    <cellStyle name="㼿_20120531马平路工程量清单（机电） 7 2 3 3 2" xfId="664" xr:uid="{00000000-0005-0000-0000-0000C6020000}"/>
    <cellStyle name="㼿_20120531马平路工程量清单（机电） 7 2 3 4 2" xfId="3188" xr:uid="{00000000-0005-0000-0000-0000A20C0000}"/>
    <cellStyle name="㼿_20120531马平路工程量清单（机电） 7 2 4 2 2" xfId="3249" xr:uid="{00000000-0005-0000-0000-0000DF0C0000}"/>
    <cellStyle name="㼿_20120531马平路工程量清单（机电） 7 2 4 3 2" xfId="3272" xr:uid="{00000000-0005-0000-0000-0000F60C0000}"/>
    <cellStyle name="㼿_20120531马平路工程量清单（机电） 7 2 4 6" xfId="95" xr:uid="{00000000-0005-0000-0000-000069000000}"/>
    <cellStyle name="㼿_20120531马平路工程量清单（机电） 7 3 3 2 2" xfId="3397" xr:uid="{00000000-0005-0000-0000-0000730D0000}"/>
    <cellStyle name="㼿_20120531马平路工程量清单（机电） 7 3 3 3 2" xfId="3421" xr:uid="{00000000-0005-0000-0000-00008B0D0000}"/>
    <cellStyle name="㼿_20120531马平路工程量清单（机电） 7 4" xfId="1419" xr:uid="{00000000-0005-0000-0000-0000B9050000}"/>
    <cellStyle name="㼿_20120531马平路工程量清单（机电） 7 5 2 2" xfId="2069" xr:uid="{00000000-0005-0000-0000-000043080000}"/>
    <cellStyle name="㼿_20120531马平路工程量清单（机电） 7 5 4 2" xfId="1719" xr:uid="{00000000-0005-0000-0000-0000E5060000}"/>
    <cellStyle name="㼿_20120531马平路工程量清单（机电） 7 7 2" xfId="110" xr:uid="{00000000-0005-0000-0000-00007A000000}"/>
    <cellStyle name="㼿_20120531马平路工程量清单（机电） 8 3 3 2 2" xfId="3977" xr:uid="{00000000-0005-0000-0000-0000B70F0000}"/>
    <cellStyle name="㼿_20120531马平路工程量清单（机电） 8 5 2 2" xfId="2317" xr:uid="{00000000-0005-0000-0000-00003B090000}"/>
    <cellStyle name="㼿_20120531马平路工程量清单（机电） 8 5 4 2" xfId="2337" xr:uid="{00000000-0005-0000-0000-00004F090000}"/>
    <cellStyle name="㼿_20120531马平路工程量清单（机电） 9 2 4" xfId="3791" xr:uid="{00000000-0005-0000-0000-0000FD0E0000}"/>
    <cellStyle name="㼿_20120531马平路工程量清单（机电） 9 2 4 2" xfId="3795" xr:uid="{00000000-0005-0000-0000-0000010F0000}"/>
    <cellStyle name="㼿_20120531马平路工程量清单（机电） 9 2 4 2 2" xfId="3800" xr:uid="{00000000-0005-0000-0000-0000060F0000}"/>
    <cellStyle name="㼿_20120531马平路工程量清单（机电） 9 2 4 3" xfId="3805" xr:uid="{00000000-0005-0000-0000-00000B0F0000}"/>
    <cellStyle name="㼿_20120531马平路工程量清单（机电） 9 2 4 3 2" xfId="3809" xr:uid="{00000000-0005-0000-0000-00000F0F0000}"/>
    <cellStyle name="㼿_20120531马平路工程量清单（机电） 9 2 4 4" xfId="3493" xr:uid="{00000000-0005-0000-0000-0000D30D0000}"/>
    <cellStyle name="㼿_20120531马平路工程量清单（机电） 9 2 4 4 2" xfId="3815" xr:uid="{00000000-0005-0000-0000-0000150F0000}"/>
    <cellStyle name="㼿_20120531马平路工程量清单（机电） 9 2 4 5" xfId="1653" xr:uid="{00000000-0005-0000-0000-0000A3060000}"/>
    <cellStyle name="㼿_20120531马平路工程量清单（机电） 9 2 4 6" xfId="2591" xr:uid="{00000000-0005-0000-0000-00004D0A0000}"/>
    <cellStyle name="㼿_20120531马平路工程量清单（机电） 9 2 5" xfId="3818" xr:uid="{00000000-0005-0000-0000-0000180F0000}"/>
    <cellStyle name="㼿_20120531马平路工程量清单（机电） 9 2 5 2" xfId="3822" xr:uid="{00000000-0005-0000-0000-00001C0F0000}"/>
    <cellStyle name="㼿_20120531马平路工程量清单（机电） 9 2 5 3" xfId="3827" xr:uid="{00000000-0005-0000-0000-0000210F0000}"/>
    <cellStyle name="㼿_20120531马平路工程量清单（机电） 9 2 6" xfId="1200" xr:uid="{00000000-0005-0000-0000-0000DE040000}"/>
    <cellStyle name="㼿_20120531马平路工程量清单（机电） 9 2 6 2" xfId="3843" xr:uid="{00000000-0005-0000-0000-0000310F0000}"/>
    <cellStyle name="㼿_20120531马平路工程量清单（机电） 9 2 7" xfId="3852" xr:uid="{00000000-0005-0000-0000-00003A0F0000}"/>
    <cellStyle name="㼿_20120531马平路工程量清单（机电） 9 2 7 2" xfId="3857" xr:uid="{00000000-0005-0000-0000-00003F0F0000}"/>
    <cellStyle name="㼿_20120531马平路工程量清单（机电） 9 2 8" xfId="3860" xr:uid="{00000000-0005-0000-0000-0000420F0000}"/>
    <cellStyle name="㼿_20120531马平路工程量清单（机电） 9 2 9" xfId="3866" xr:uid="{00000000-0005-0000-0000-0000480F0000}"/>
    <cellStyle name="㼿_20120531马平路工程量清单（机电） 9 3 4" xfId="3875" xr:uid="{00000000-0005-0000-0000-0000510F0000}"/>
    <cellStyle name="㼿_20120531马平路工程量清单（机电） 9 3 4 2" xfId="3877" xr:uid="{00000000-0005-0000-0000-0000530F0000}"/>
    <cellStyle name="㼿_20120531马平路工程量清单（机电） 9 3 4 3" xfId="3882" xr:uid="{00000000-0005-0000-0000-0000580F0000}"/>
    <cellStyle name="㼿_20120531马平路工程量清单（机电） 9 3 5" xfId="3892" xr:uid="{00000000-0005-0000-0000-0000620F0000}"/>
    <cellStyle name="㼿_20120531马平路工程量清单（机电） 9 3 5 2" xfId="3894" xr:uid="{00000000-0005-0000-0000-0000640F0000}"/>
    <cellStyle name="㼿_20120531马平路工程量清单（机电） 9 3 6" xfId="3903" xr:uid="{00000000-0005-0000-0000-00006D0F0000}"/>
    <cellStyle name="㼿_20120531马平路工程量清单（机电） 9 3 6 2" xfId="3906" xr:uid="{00000000-0005-0000-0000-0000700F0000}"/>
    <cellStyle name="㼿_20120531马平路工程量清单（机电） 9 3 7" xfId="3912" xr:uid="{00000000-0005-0000-0000-0000760F0000}"/>
    <cellStyle name="㼿_20120531马平路工程量清单（机电） 9 3 8" xfId="3917" xr:uid="{00000000-0005-0000-0000-00007B0F0000}"/>
    <cellStyle name="㼿_20120531马平路工程量清单（机电） 9 3 9" xfId="3923" xr:uid="{00000000-0005-0000-0000-0000810F0000}"/>
    <cellStyle name="㼿_20120531马平路工程量清单（机电） 9 5 2 2" xfId="444" xr:uid="{00000000-0005-0000-0000-0000EA010000}"/>
    <cellStyle name="㼿_20120531马平路工程量清单（机电） 9 5 4 2" xfId="2542" xr:uid="{00000000-0005-0000-0000-00001C0A0000}"/>
    <cellStyle name="㼿_马平房建清单(1) 10 10 2" xfId="2577" xr:uid="{00000000-0005-0000-0000-00003F0A0000}"/>
    <cellStyle name="㼿_马平房建清单(1) 12 2 8" xfId="1889" xr:uid="{00000000-0005-0000-0000-00008F070000}"/>
    <cellStyle name="㼿_马平房建清单(1) 12 3 2 4" xfId="2506" xr:uid="{00000000-0005-0000-0000-0000F8090000}"/>
    <cellStyle name="㼿_马平房建清单(1) 12 5 3 2" xfId="2779" xr:uid="{00000000-0005-0000-0000-0000090B0000}"/>
    <cellStyle name="㼿_马平房建清单(1) 12 8" xfId="2078" xr:uid="{00000000-0005-0000-0000-00004C080000}"/>
    <cellStyle name="㼿_马平房建清单(1) 12 8 2" xfId="2081" xr:uid="{00000000-0005-0000-0000-00004F080000}"/>
    <cellStyle name="㼿_马平房建清单(1) 12 9" xfId="2083" xr:uid="{00000000-0005-0000-0000-000051080000}"/>
    <cellStyle name="㼿_马平房建清单(1) 12 9 2" xfId="580" xr:uid="{00000000-0005-0000-0000-000072020000}"/>
    <cellStyle name="㼿_马平房建清单(1) 13 2 2" xfId="1128" xr:uid="{00000000-0005-0000-0000-000096040000}"/>
    <cellStyle name="㼿_马平房建清单(1) 13 2 2 2" xfId="1131" xr:uid="{00000000-0005-0000-0000-000099040000}"/>
    <cellStyle name="㼿_马平房建清单(1) 13 2 2 2 2" xfId="1250" xr:uid="{00000000-0005-0000-0000-000010050000}"/>
    <cellStyle name="㼿_马平房建清单(1) 13 2 2 3" xfId="1265" xr:uid="{00000000-0005-0000-0000-00001F050000}"/>
    <cellStyle name="㼿_马平房建清单(1) 13 2 3" xfId="1142" xr:uid="{00000000-0005-0000-0000-0000A4040000}"/>
    <cellStyle name="㼿_马平房建清单(1) 13 2 3 2" xfId="1149" xr:uid="{00000000-0005-0000-0000-0000AB040000}"/>
    <cellStyle name="㼿_马平房建清单(1) 13 2 3 2 2" xfId="1292" xr:uid="{00000000-0005-0000-0000-00003A050000}"/>
    <cellStyle name="㼿_马平房建清单(1) 13 2 3 3" xfId="1298" xr:uid="{00000000-0005-0000-0000-000040050000}"/>
    <cellStyle name="㼿_马平房建清单(1) 13 2 4" xfId="1157" xr:uid="{00000000-0005-0000-0000-0000B3040000}"/>
    <cellStyle name="㼿_马平房建清单(1) 13 2 4 2" xfId="1162" xr:uid="{00000000-0005-0000-0000-0000B8040000}"/>
    <cellStyle name="㼿_马平房建清单(1) 13 2 4 3" xfId="1330" xr:uid="{00000000-0005-0000-0000-000060050000}"/>
    <cellStyle name="㼿_马平房建清单(1) 13 3 3" xfId="1920" xr:uid="{00000000-0005-0000-0000-0000AE070000}"/>
    <cellStyle name="㼿_马平房建清单(1) 13 4 3" xfId="1806" xr:uid="{00000000-0005-0000-0000-00003C070000}"/>
    <cellStyle name="㼿_马平房建清单(1) 13 5 3" xfId="432" xr:uid="{00000000-0005-0000-0000-0000DE010000}"/>
    <cellStyle name="㼿_马平房建清单(1) 14 4 4" xfId="2522" xr:uid="{00000000-0005-0000-0000-0000080A0000}"/>
    <cellStyle name="㼿_马平房建清单(1) 15 2 6" xfId="748" xr:uid="{00000000-0005-0000-0000-00001A030000}"/>
    <cellStyle name="㼿_马平房建清单(1) 20 2 6" xfId="747" xr:uid="{00000000-0005-0000-0000-000019030000}"/>
    <cellStyle name="㼿_马平房建清单(1) 4 7 2" xfId="917" xr:uid="{00000000-0005-0000-0000-0000C3030000}"/>
    <cellStyle name="㼿_马平房建清单(1) 5 2 2 3" xfId="1872" xr:uid="{00000000-0005-0000-0000-00007E070000}"/>
    <cellStyle name="㼿_马平房建清单(1) 5 2 3 3" xfId="2002" xr:uid="{00000000-0005-0000-0000-000000080000}"/>
    <cellStyle name="㼿_马平房建清单(1) 5 2 4 3" xfId="2251" xr:uid="{00000000-0005-0000-0000-0000F9080000}"/>
    <cellStyle name="㼿_马平房建清单(1) 5 3 2 3" xfId="764" xr:uid="{00000000-0005-0000-0000-00002A030000}"/>
    <cellStyle name="㼿_马平房建清单(1) 5 3 3 4 2" xfId="1453" xr:uid="{00000000-0005-0000-0000-0000DB050000}"/>
    <cellStyle name="㼿_马平房建清单(1) 5 4 2 3" xfId="1204" xr:uid="{00000000-0005-0000-0000-0000E2040000}"/>
    <cellStyle name="㼿_马平房建清单(1) 6 2 2 2 5" xfId="1645" xr:uid="{00000000-0005-0000-0000-00009B060000}"/>
    <cellStyle name="㼿_马平房建清单(1) 6 2 2 3" xfId="507" xr:uid="{00000000-0005-0000-0000-000029020000}"/>
    <cellStyle name="㼿_马平房建清单(1) 6 3 2 3" xfId="2699" xr:uid="{00000000-0005-0000-0000-0000B90A0000}"/>
    <cellStyle name="㼿_马平房建清单(1) 6 8 3" xfId="305" xr:uid="{00000000-0005-0000-0000-00005C010000}"/>
    <cellStyle name="㼿_马平房建清单(1) 9 2 4 5" xfId="1072" xr:uid="{00000000-0005-0000-0000-00005E040000}"/>
    <cellStyle name="小数 11 4 5" xfId="2547" xr:uid="{00000000-0005-0000-0000-0000210A0000}"/>
    <cellStyle name="小数 2 3 2 7" xfId="859" xr:uid="{00000000-0005-0000-0000-000089030000}"/>
    <cellStyle name="小数 6 2 2 6" xfId="494" xr:uid="{00000000-0005-0000-0000-00001C020000}"/>
    <cellStyle name="小数 6 3 3 3 2" xfId="3128" xr:uid="{00000000-0005-0000-0000-0000660C0000}"/>
    <cellStyle name="注释 2 11 2 2 3 2 2" xfId="2395" xr:uid="{00000000-0005-0000-0000-000089090000}"/>
    <cellStyle name="注释 2 4 2 2 2 5" xfId="3110" xr:uid="{00000000-0005-0000-0000-0000540C0000}"/>
    <cellStyle name="注释 2 4 7 2" xfId="1383" xr:uid="{00000000-0005-0000-0000-000095050000}"/>
    <cellStyle name="注释 2 4 8 2" xfId="1976" xr:uid="{00000000-0005-0000-0000-0000E6070000}"/>
    <cellStyle name="注释 2 6 2 2 2 2" xfId="1045" xr:uid="{00000000-0005-0000-0000-000043040000}"/>
    <cellStyle name="注释 2 6 2 2 2 3 2" xfId="3022" xr:uid="{00000000-0005-0000-0000-0000FC0B0000}"/>
    <cellStyle name="注释 2 6 2 2 2 4 2" xfId="3050" xr:uid="{00000000-0005-0000-0000-0000180C0000}"/>
    <cellStyle name="注释 2 6 2 2 3 3 2" xfId="3202" xr:uid="{00000000-0005-0000-0000-0000B00C0000}"/>
    <cellStyle name="注释 2 6 2 2 3 4 2" xfId="3318" xr:uid="{00000000-0005-0000-0000-0000240D0000}"/>
    <cellStyle name="注释 2 9 2 2 5" xfId="2191" xr:uid="{00000000-0005-0000-0000-0000BD080000}"/>
    <cellStyle name="注释 2 9 2 2 6" xfId="3978" xr:uid="{00000000-0005-0000-0000-0000B80F0000}"/>
    <cellStyle name="注释 2 9 2 3 5" xfId="118" xr:uid="{00000000-0005-0000-0000-000082000000}"/>
    <cellStyle name="注释 2 9 2 4 5" xfId="3985" xr:uid="{00000000-0005-0000-0000-0000BF0F0000}"/>
    <cellStyle name="注释 2 9 3 2 5" xfId="2070" xr:uid="{00000000-0005-0000-0000-000044080000}"/>
    <cellStyle name="注释 2 9 3 3 5" xfId="3991" xr:uid="{00000000-0005-0000-0000-0000C50F0000}"/>
    <cellStyle name="注释 3 10 3 2 5" xfId="3561" xr:uid="{00000000-0005-0000-0000-0000170E0000}"/>
    <cellStyle name="注释 3 11 2 2 8" xfId="2084" xr:uid="{00000000-0005-0000-0000-000052080000}"/>
    <cellStyle name="注释 3 11 2 2 9" xfId="2099" xr:uid="{00000000-0005-0000-0000-000061080000}"/>
    <cellStyle name="注释 3 11 2 4 5" xfId="2497" xr:uid="{00000000-0005-0000-0000-0000EF090000}"/>
    <cellStyle name="注释 3 13 2" xfId="3114" xr:uid="{00000000-0005-0000-0000-0000580C0000}"/>
    <cellStyle name="注释 3 13 2 2" xfId="3119" xr:uid="{00000000-0005-0000-0000-00005D0C0000}"/>
    <cellStyle name="注释 3 13 3" xfId="3127" xr:uid="{00000000-0005-0000-0000-0000650C0000}"/>
    <cellStyle name="注释 3 13 4" xfId="1404" xr:uid="{00000000-0005-0000-0000-0000AA050000}"/>
    <cellStyle name="注释 3 13 5" xfId="3136" xr:uid="{00000000-0005-0000-0000-00006E0C0000}"/>
    <cellStyle name="注释 3 18 2" xfId="3380" xr:uid="{00000000-0005-0000-0000-0000620D0000}"/>
    <cellStyle name="注释 3 23 2" xfId="3379" xr:uid="{00000000-0005-0000-0000-0000610D0000}"/>
    <cellStyle name="注释 3 4 2 2 2" xfId="2136" xr:uid="{00000000-0005-0000-0000-000086080000}"/>
    <cellStyle name="注释 3 4 2 2 3" xfId="3689" xr:uid="{00000000-0005-0000-0000-0000970E0000}"/>
    <cellStyle name="注释 3 4 2 2 5" xfId="2367" xr:uid="{00000000-0005-0000-0000-00006D090000}"/>
    <cellStyle name="注释 3 4 3 3 2" xfId="866" xr:uid="{00000000-0005-0000-0000-000090030000}"/>
    <cellStyle name="注释 3 4 3 3 3" xfId="875" xr:uid="{00000000-0005-0000-0000-000099030000}"/>
    <cellStyle name="注释 3 4 3 4 2" xfId="102" xr:uid="{00000000-0005-0000-0000-000071000000}"/>
    <cellStyle name="注释 3 5 3 3 4" xfId="6" xr:uid="{00000000-0005-0000-0000-000009000000}"/>
    <cellStyle name="注释 3 7 3 2 4" xfId="369" xr:uid="{00000000-0005-0000-0000-00009F010000}"/>
    <cellStyle name="注释 3 7 3 2 5" xfId="2621" xr:uid="{00000000-0005-0000-0000-00006B0A0000}"/>
    <cellStyle name="注释 3 7 3 3 4" xfId="153" xr:uid="{00000000-0005-0000-0000-0000AB000000}"/>
    <cellStyle name="注释 3 8 2 2 2 5" xfId="726" xr:uid="{00000000-0005-0000-0000-000004030000}"/>
    <cellStyle name="注释 3 8 3 2 4" xfId="2300" xr:uid="{00000000-0005-0000-0000-00002A090000}"/>
    <cellStyle name="注释 3 8 3 3 4" xfId="4006" xr:uid="{00000000-0005-0000-0000-0000D40F0000}"/>
    <cellStyle name="注释 3 9 5 4" xfId="500" xr:uid="{00000000-0005-0000-0000-000022020000}"/>
  </cellStyles>
  <dxfs count="174">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xml"/><Relationship Id="rId21" Type="http://schemas.openxmlformats.org/officeDocument/2006/relationships/worksheet" Target="worksheets/sheet21.xml"/><Relationship Id="rId42" Type="http://schemas.openxmlformats.org/officeDocument/2006/relationships/externalLink" Target="externalLinks/externalLink18.xml"/><Relationship Id="rId47" Type="http://schemas.openxmlformats.org/officeDocument/2006/relationships/externalLink" Target="externalLinks/externalLink23.xml"/><Relationship Id="rId63" Type="http://schemas.openxmlformats.org/officeDocument/2006/relationships/externalLink" Target="externalLinks/externalLink39.xml"/><Relationship Id="rId68" Type="http://schemas.openxmlformats.org/officeDocument/2006/relationships/externalLink" Target="externalLinks/externalLink44.xml"/><Relationship Id="rId84" Type="http://schemas.openxmlformats.org/officeDocument/2006/relationships/externalLink" Target="externalLinks/externalLink60.xml"/><Relationship Id="rId89" Type="http://schemas.openxmlformats.org/officeDocument/2006/relationships/customXml" Target="../customXml/item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externalLink" Target="externalLinks/externalLink8.xml"/><Relationship Id="rId37" Type="http://schemas.openxmlformats.org/officeDocument/2006/relationships/externalLink" Target="externalLinks/externalLink13.xml"/><Relationship Id="rId53" Type="http://schemas.openxmlformats.org/officeDocument/2006/relationships/externalLink" Target="externalLinks/externalLink29.xml"/><Relationship Id="rId58" Type="http://schemas.openxmlformats.org/officeDocument/2006/relationships/externalLink" Target="externalLinks/externalLink34.xml"/><Relationship Id="rId74" Type="http://schemas.openxmlformats.org/officeDocument/2006/relationships/externalLink" Target="externalLinks/externalLink50.xml"/><Relationship Id="rId79" Type="http://schemas.openxmlformats.org/officeDocument/2006/relationships/externalLink" Target="externalLinks/externalLink55.xml"/><Relationship Id="rId5" Type="http://schemas.openxmlformats.org/officeDocument/2006/relationships/worksheet" Target="worksheets/sheet5.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externalLink" Target="externalLinks/externalLink11.xml"/><Relationship Id="rId43" Type="http://schemas.openxmlformats.org/officeDocument/2006/relationships/externalLink" Target="externalLinks/externalLink19.xml"/><Relationship Id="rId48" Type="http://schemas.openxmlformats.org/officeDocument/2006/relationships/externalLink" Target="externalLinks/externalLink24.xml"/><Relationship Id="rId56" Type="http://schemas.openxmlformats.org/officeDocument/2006/relationships/externalLink" Target="externalLinks/externalLink32.xml"/><Relationship Id="rId64" Type="http://schemas.openxmlformats.org/officeDocument/2006/relationships/externalLink" Target="externalLinks/externalLink40.xml"/><Relationship Id="rId69" Type="http://schemas.openxmlformats.org/officeDocument/2006/relationships/externalLink" Target="externalLinks/externalLink45.xml"/><Relationship Id="rId77" Type="http://schemas.openxmlformats.org/officeDocument/2006/relationships/externalLink" Target="externalLinks/externalLink53.xml"/><Relationship Id="rId8" Type="http://schemas.openxmlformats.org/officeDocument/2006/relationships/worksheet" Target="worksheets/sheet8.xml"/><Relationship Id="rId51" Type="http://schemas.openxmlformats.org/officeDocument/2006/relationships/externalLink" Target="externalLinks/externalLink27.xml"/><Relationship Id="rId72" Type="http://schemas.openxmlformats.org/officeDocument/2006/relationships/externalLink" Target="externalLinks/externalLink48.xml"/><Relationship Id="rId80" Type="http://schemas.openxmlformats.org/officeDocument/2006/relationships/externalLink" Target="externalLinks/externalLink56.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externalLink" Target="externalLinks/externalLink9.xml"/><Relationship Id="rId38" Type="http://schemas.openxmlformats.org/officeDocument/2006/relationships/externalLink" Target="externalLinks/externalLink14.xml"/><Relationship Id="rId46" Type="http://schemas.openxmlformats.org/officeDocument/2006/relationships/externalLink" Target="externalLinks/externalLink22.xml"/><Relationship Id="rId59" Type="http://schemas.openxmlformats.org/officeDocument/2006/relationships/externalLink" Target="externalLinks/externalLink35.xml"/><Relationship Id="rId67" Type="http://schemas.openxmlformats.org/officeDocument/2006/relationships/externalLink" Target="externalLinks/externalLink43.xml"/><Relationship Id="rId20" Type="http://schemas.openxmlformats.org/officeDocument/2006/relationships/worksheet" Target="worksheets/sheet20.xml"/><Relationship Id="rId41" Type="http://schemas.openxmlformats.org/officeDocument/2006/relationships/externalLink" Target="externalLinks/externalLink17.xml"/><Relationship Id="rId54" Type="http://schemas.openxmlformats.org/officeDocument/2006/relationships/externalLink" Target="externalLinks/externalLink30.xml"/><Relationship Id="rId62" Type="http://schemas.openxmlformats.org/officeDocument/2006/relationships/externalLink" Target="externalLinks/externalLink38.xml"/><Relationship Id="rId70" Type="http://schemas.openxmlformats.org/officeDocument/2006/relationships/externalLink" Target="externalLinks/externalLink46.xml"/><Relationship Id="rId75" Type="http://schemas.openxmlformats.org/officeDocument/2006/relationships/externalLink" Target="externalLinks/externalLink51.xml"/><Relationship Id="rId83" Type="http://schemas.openxmlformats.org/officeDocument/2006/relationships/externalLink" Target="externalLinks/externalLink59.xml"/><Relationship Id="rId88"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externalLink" Target="externalLinks/externalLink12.xml"/><Relationship Id="rId49" Type="http://schemas.openxmlformats.org/officeDocument/2006/relationships/externalLink" Target="externalLinks/externalLink25.xml"/><Relationship Id="rId57" Type="http://schemas.openxmlformats.org/officeDocument/2006/relationships/externalLink" Target="externalLinks/externalLink33.xml"/><Relationship Id="rId10" Type="http://schemas.openxmlformats.org/officeDocument/2006/relationships/worksheet" Target="worksheets/sheet10.xml"/><Relationship Id="rId31" Type="http://schemas.openxmlformats.org/officeDocument/2006/relationships/externalLink" Target="externalLinks/externalLink7.xml"/><Relationship Id="rId44" Type="http://schemas.openxmlformats.org/officeDocument/2006/relationships/externalLink" Target="externalLinks/externalLink20.xml"/><Relationship Id="rId52" Type="http://schemas.openxmlformats.org/officeDocument/2006/relationships/externalLink" Target="externalLinks/externalLink28.xml"/><Relationship Id="rId60" Type="http://schemas.openxmlformats.org/officeDocument/2006/relationships/externalLink" Target="externalLinks/externalLink36.xml"/><Relationship Id="rId65" Type="http://schemas.openxmlformats.org/officeDocument/2006/relationships/externalLink" Target="externalLinks/externalLink41.xml"/><Relationship Id="rId73" Type="http://schemas.openxmlformats.org/officeDocument/2006/relationships/externalLink" Target="externalLinks/externalLink49.xml"/><Relationship Id="rId78" Type="http://schemas.openxmlformats.org/officeDocument/2006/relationships/externalLink" Target="externalLinks/externalLink54.xml"/><Relationship Id="rId81" Type="http://schemas.openxmlformats.org/officeDocument/2006/relationships/externalLink" Target="externalLinks/externalLink57.xml"/><Relationship Id="rId86"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15.xml"/><Relationship Id="rId34" Type="http://schemas.openxmlformats.org/officeDocument/2006/relationships/externalLink" Target="externalLinks/externalLink10.xml"/><Relationship Id="rId50" Type="http://schemas.openxmlformats.org/officeDocument/2006/relationships/externalLink" Target="externalLinks/externalLink26.xml"/><Relationship Id="rId55" Type="http://schemas.openxmlformats.org/officeDocument/2006/relationships/externalLink" Target="externalLinks/externalLink31.xml"/><Relationship Id="rId76" Type="http://schemas.openxmlformats.org/officeDocument/2006/relationships/externalLink" Target="externalLinks/externalLink52.xml"/><Relationship Id="rId7" Type="http://schemas.openxmlformats.org/officeDocument/2006/relationships/worksheet" Target="worksheets/sheet7.xml"/><Relationship Id="rId71" Type="http://schemas.openxmlformats.org/officeDocument/2006/relationships/externalLink" Target="externalLinks/externalLink47.xml"/><Relationship Id="rId2" Type="http://schemas.openxmlformats.org/officeDocument/2006/relationships/worksheet" Target="worksheets/sheet2.xml"/><Relationship Id="rId29" Type="http://schemas.openxmlformats.org/officeDocument/2006/relationships/externalLink" Target="externalLinks/externalLink5.xml"/><Relationship Id="rId24" Type="http://schemas.openxmlformats.org/officeDocument/2006/relationships/worksheet" Target="worksheets/sheet24.xml"/><Relationship Id="rId40" Type="http://schemas.openxmlformats.org/officeDocument/2006/relationships/externalLink" Target="externalLinks/externalLink16.xml"/><Relationship Id="rId45" Type="http://schemas.openxmlformats.org/officeDocument/2006/relationships/externalLink" Target="externalLinks/externalLink21.xml"/><Relationship Id="rId66" Type="http://schemas.openxmlformats.org/officeDocument/2006/relationships/externalLink" Target="externalLinks/externalLink42.xml"/><Relationship Id="rId87" Type="http://schemas.openxmlformats.org/officeDocument/2006/relationships/sharedStrings" Target="sharedStrings.xml"/><Relationship Id="rId61" Type="http://schemas.openxmlformats.org/officeDocument/2006/relationships/externalLink" Target="externalLinks/externalLink37.xml"/><Relationship Id="rId82" Type="http://schemas.openxmlformats.org/officeDocument/2006/relationships/externalLink" Target="externalLinks/externalLink58.xml"/><Relationship Id="rId19" Type="http://schemas.openxmlformats.org/officeDocument/2006/relationships/worksheet" Target="worksheets/sheet1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07;&#19994;&#21457;&#23637;&#25903;&#20986;&#65288;&#32463;&#24046;&#24322;&#35843;&#25972;&#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TS01\jhc\CHR\ARBEJDE\Q4DK.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2&#24180;&#20113;&#21335;&#30465;&#20998;&#21439;&#19968;&#33324;&#39044;&#31639;&#25910;&#2083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2320;&#21439;&#24037;&#21830;&#31246;&#25910;&#20915;&#31639;&#2596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TS01\jhc\unzipped\Eastern%20Airline%20FE\Backup%20of%20Backup%20of%20LINDA%20LISTONE.xlk"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WINDOWS\TEMP\GOLDPYR4\ARENTO\TOOLBOX.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TS01\jhc\unzipped\Eastern%20Airline%20FE\fnl-gp2\ToolboxGP\Kor\OSP_Becht_Fi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DELL/AppData/Local/Temp/Temp1_&#25104;&#26412;(&#26611;&#27494;&#36335;&#38754;7&#20998;&#37096;)-&#21097;&#20313;&#25104;&#26412;.zip/&#25104;&#26412;(&#26611;&#27494;&#36335;&#38754;7&#20998;&#37096;)-&#21097;&#20313;&#25104;&#26412;/POWER%20ASSUMPTION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TS01\jhc\unzipped\Eastern%20Airline%20FE\GP\tamer\DOS\TEMP\GPTLBX9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004&#24180;&#20113;&#21335;&#30465;&#20998;&#21439;&#26412;&#32423;&#26631;&#20934;&#25910;&#20837;&#21512;&#3574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02&#25919;&#24220;&#38388;&#36716;&#31227;&#25903;&#20184;/01&#19968;&#33324;&#24615;&#36716;&#31227;&#25903;&#20184;/2005&#24180;/&#31532;&#20108;&#26041;&#26696;/2004&#24180;&#20113;&#21335;&#30465;&#20998;&#21439;&#26412;&#32423;&#26631;&#20934;&#25910;&#20837;&#21512;&#3574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S01\jhc\unzipped\Eastern%20Airline%20FE\GP\GP_Ph1\SBB-OIs\Hel-OI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WINDOWS.000\Desktop\&#25105;&#30340;&#20844;&#25991;&#21253;\&#36213;&#21746;&#36132;&#25991;&#20214;&#22841;\&#25253;&#3492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892;&#19994;&#20154;&#2147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02&#25919;&#24220;&#38388;&#36716;&#31227;&#25903;&#20184;/01&#19968;&#33324;&#24615;&#36716;&#31227;&#25903;&#20184;/2005&#24180;/&#31532;&#20108;&#26041;&#26696;/&#22522;&#30784;&#25968;&#25454;/2003&#24180;&#20113;&#21335;&#30465;&#20998;&#21439;&#36130;&#25919;&#20840;&#20379;&#20859;&#20154;&#21592;&#22686;&#2413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Documents%20and%20Settings\IBM\&#26700;&#38754;\&#21333;&#20301;&#21453;&#39304;&#26680;&#23545;&#20449;&#24687;\201110&#19994;&#21153;\DOCUME~1\zq\LOCALS~1\Temp\04&#20307;&#21046;&#31185;\03&#24180;&#32456;&#32467;&#31639;&#21450;&#25968;&#25454;&#20998;&#26512;\2006&#24180;\&#20915;&#31639;&#21450;&#25968;&#25454;&#20998;&#26512;\&#20915;&#31639;&#20998;&#26512;&#36164;&#26009;&#32467;&#26524;\&#21439;&#32423;&#36130;&#25919;&#25253;&#34920;&#38468;&#34920;\01&#26118;&#26126;\01&#26118;&#2612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DATA%20Folder/2004&#24180;&#19968;&#33324;&#24615;&#36716;&#31227;&#25903;&#20184;/2004&#24180;&#20113;&#21335;&#30465;&#20998;&#21439;&#26449;&#32423;&#26631;&#20934;&#25903;&#20986;.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27575;&#38177;&#29790;/&#21271;&#20140;&#24503;&#21150;/2007&#24180;&#27979;&#31639;&#26041;&#26696;/&#19968;&#22870;/Documents%20and%20Settings/caiqiang/My%20Documents/&#21439;&#20065;&#36130;&#25919;&#22256;&#38590;&#27979;&#31639;&#26041;&#26696;/&#26041;&#26696;&#19977;&#31295;/&#26041;&#26696;&#20108;&#31295;/&#35774;&#22791;/&#21407;&#22987;/814/13%20&#38081;&#36335;&#37197;&#2021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DOCUME~1/zq/LOCALS~1/Temp/04&#20307;&#21046;&#31185;/03&#24180;&#32456;&#32467;&#31639;&#21450;&#25968;&#25454;&#20998;&#26512;/2006&#24180;/&#20915;&#31639;&#21450;&#25968;&#25454;&#20998;&#26512;/&#20915;&#31639;&#20998;&#26512;&#36164;&#26009;&#32467;&#26524;/&#21439;&#32423;&#36130;&#25919;&#25253;&#34920;&#38468;&#34920;/01&#26118;&#26126;/01&#26118;&#2612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02&#25919;&#24220;&#38388;&#36716;&#31227;&#25903;&#20184;/01&#19968;&#33324;&#24615;&#36716;&#31227;&#25903;&#20184;/2005&#24180;/&#31532;&#20108;&#26041;&#26696;/&#22522;&#30784;&#25968;&#25454;/2003&#24180;&#20113;&#21335;&#30465;&#20998;&#21439;GDP&#21450;&#20998;&#20135;&#19994;&#25968;&#2545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tor/Desktop/RecoveredExternalLink1"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WINDOWS\Desktop\&#32929;&#20221;\&#37325;&#32622;&#25104;&#26412;&#26126;&#32454;&#34920;\&#26680;&#23545;&#27719;&#24635;&#34920;SZ.10-1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02&#25919;&#24220;&#38388;&#36716;&#31227;&#25903;&#20184;/01&#19968;&#33324;&#24615;&#36716;&#31227;&#25903;&#20184;/2005&#24180;/&#31532;&#20108;&#26041;&#26696;/&#22522;&#30784;&#25968;&#25454;/2003&#24180;&#20998;&#22320;&#21439;&#36130;&#25919;&#19968;&#33324;&#39044;&#31639;&#25910;&#2083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65;&#38215;&#21644;&#34892;&#25919;&#26449;&#20010;&#2596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02&#25919;&#24220;&#38388;&#36716;&#31227;&#25903;&#20184;/01&#19968;&#33324;&#24615;&#36716;&#31227;&#25903;&#20184;/2005&#24180;/&#31532;&#20108;&#26041;&#26696;/&#22522;&#30784;&#25968;&#25454;/2003&#24180;&#20113;&#21335;&#30465;&#20998;&#22320;&#21439;&#24037;&#21830;&#31246;&#25910;&#20915;&#31639;&#2596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GDP&#21450;&#20998;&#20135;&#19994;&#25968;&#2545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DATA%20Folder/2004&#24180;&#19968;&#33324;&#24615;&#36716;&#31227;&#25903;&#20184;/2004&#24180;&#20113;&#21335;&#30465;&#20998;&#21439;&#20844;&#29992;&#26631;&#20934;&#25903;&#20986;.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I:\&#26700;&#38754;&#25991;&#20214;\&#26700;&#38754;&#25991;&#20214;2013-4-14\&#21776;&#21191;\1&#26631;&#25104;&#26412;&#26680;&#31639;2012-12-18\&#19968;&#26631;&#39033;&#30446;&#30446;&#26631;&#25104;&#26412;&#26680;&#31639;&#65288;8-23&#65289;&#25913;&#36807;.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DOCUME~1/zq/LOCALS~1/Temp/&#25919;&#27861;&#21475;&#24120;&#29992;&#32479;&#35745;&#36164;&#26009;/&#19977;&#23395;&#24230;&#27719;&#24635;/&#39044;&#31639;/2006&#39044;&#31639;&#25253;&#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Administrator/&#26700;&#38754;/RecoveredExternalLink1"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02&#25919;&#24220;&#38388;&#36716;&#31227;&#25903;&#20184;/01&#19968;&#33324;&#24615;&#36716;&#31227;&#25903;&#20184;/2004&#24180;/2004&#24180;&#19968;&#33324;&#24615;&#36716;&#31227;&#25903;&#20184;&#27979;&#31639;/&#22522;&#30784;&#25968;&#25454;/2003&#24180;&#20113;&#21335;&#30465;&#20998;&#21439;&#20892;&#19994;&#20154;&#21475;.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DBSERVER\&#39044;&#31639;&#21496;\&#20849;&#20139;&#25968;&#25454;\&#21382;&#24180;&#20915;&#31639;\1996&#24180;\1996&#24180;&#20915;&#31639;&#27719;&#24635;\2021&#28246;&#21271;&#30465;.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I:\Documents%20and%20Settings\chenjun.FINANCIAL\&#26700;&#38754;\&#23457;&#35745;&#24213;&#31295;\&#20808;&#38155;&#32622;&#19994;&#26412;&#37096;\&#20122;&#36816;&#19968;&#26399;\&#20808;&#38155;&#26412;&#37096;.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DATA%20Folder/2004&#24180;&#19968;&#33324;&#24615;&#36716;&#31227;&#25903;&#20184;/2004&#24180;&#20113;&#21335;&#30465;&#20998;&#21439;&#20154;&#21592;&#26631;&#20934;&#25903;&#20986;.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I:\Documents%20and%20Settings\chenjun.FINANCIAL\&#26700;&#38754;\&#20808;&#38155;&#25253;&#34920;\2002\&#20122;&#36816;&#19968;&#26399;\&#24453;&#25674;&#36153;&#29992;&#31561;&#23457;&#23450;&#34920;.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DATA%20Folder/2004&#24180;&#19968;&#33324;&#24615;&#36716;&#31227;&#25903;&#20184;/2004&#24180;&#20113;&#21335;&#30465;&#20998;&#21439;&#20107;&#19994;&#21457;&#23637;&#25903;&#20986;&#65288;&#32463;&#24046;&#24322;&#35843;&#25972;&#65289;.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4635;&#20154;&#21475;.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26690;&#26611;&#25104;&#26412;/&#26690;&#26611;4&#26631;&#25104;&#26412;&#23457;&#35745;&#20462;&#25913;&#29256;&#65288;2018.4.15&#35752;&#35770;&#31295;&#65289;/RecoveredExternalLink2"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844;&#29992;&#26631;&#20934;&#25903;&#20986;.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02&#25919;&#24220;&#38388;&#36716;&#31227;&#25903;&#20184;/01&#19968;&#33324;&#24615;&#36716;&#31227;&#25903;&#20184;/2004&#24180;/2004&#24180;&#19968;&#33324;&#24615;&#36716;&#31227;&#25903;&#20184;&#27979;&#31639;/&#22522;&#30784;&#25968;&#25454;/&#20065;&#38215;&#21644;&#34892;&#25919;&#26449;&#20010;&#2596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I:\&#39033;&#30446;&#26723;&#26696;\&#25105;&#20570;&#30340;\&#19975;&#36890;&#22320;&#20135;\0&#23458;&#25143;&#36164;&#26009;\3&#26032;&#22478;&#22269;&#38469;\&#37073;&#31168;&#23792;\&#20808;&#38155;&#25253;&#34920;\2003&#21512;&#24182;&#25253;&#34920;\&#20808;&#38155;2002&#24180;--&#29616;&#37329;&#27969;&#37327;&#34920;.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DOCUME~1/zq/LOCALS~1/Temp/&#36130;&#25919;&#20379;&#20859;&#20154;&#21592;&#20449;&#24687;&#34920;/&#25945;&#32946;/&#27896;&#27700;&#22235;&#20013;.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54;&#21592;&#26631;&#20934;&#25903;&#20986;.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02&#25919;&#24220;&#38388;&#36716;&#31227;&#25903;&#20184;/01&#19968;&#33324;&#24615;&#36716;&#31227;&#25903;&#20184;/2005&#24180;/&#31532;&#20108;&#26041;&#26696;/&#22522;&#30784;&#25968;&#25454;/2002&#24180;&#20113;&#21335;&#30465;&#20998;&#21439;&#19968;&#33324;&#39044;&#31639;&#25910;&#20837;.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998;&#22320;&#21439;&#36130;&#25919;&#19968;&#33324;&#39044;&#31639;&#25910;&#20837;.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02&#25919;&#24220;&#38388;&#36716;&#31227;&#25903;&#20184;/01&#19968;&#33324;&#24615;&#36716;&#31227;&#25903;&#20184;/2004&#24180;/2004&#24180;&#19968;&#33324;&#24615;&#36716;&#31227;&#25903;&#20184;&#27979;&#31639;/&#22522;&#30784;&#25968;&#25454;/2003&#24180;&#20113;&#21335;&#30465;&#20998;&#21439;&#24635;&#20154;&#21475;.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Users/Administrator/Desktop/&#27491;&#22312;&#22788;&#29702;/&#26690;&#26611;&#25104;&#26412;/&#26690;&#26611;4&#26631;&#25104;&#26412;&#27979;&#31639;&#65288;&#20108;&#27425;&#26680;&#23545;&#65289;2018.3.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01\jhc\unzipped\Eastern%20Airline%20FE\GP\tamer\WINDOWS\GP_AT.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Users/75564/Desktop/&#39033;&#30446;&#31574;&#21010;&#26041;&#26696;/&#19996;&#21271;&#20844;&#21496;2022&#24180;&#38567;&#36947;&#30149;&#23475;&#22788;&#27835;&#24037;&#31243;&#39033;&#30446;&#25104;&#26412;&#27979;&#31639;/&#23815;&#24038;&#20859;&#25252;8&#26631;&#30446;&#26631;&#25104;&#2641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9579;&#30456;&#20754;/&#24320;&#24037;&#33267;2016&#24180;&#24213;&#25104;&#26412;&#26680;&#31639;%20-%20&#32456;&#29256;/&#24320;&#24037;&#33267;2016&#24180;&#24213;&#25104;&#26412;&#26680;&#3163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12/&#20845;&#38054;&#36335;&#20462;&#25913;/&#26426;&#30005;&#25307;&#26631;&#26631;&#20934;&#24037;&#31243;&#37327;&#28165;&#21333;&#65288;&#30417;&#25511;&#35774;&#26045;&#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39033;&#30446;&#26723;&#26696;\&#25105;&#20570;&#30340;\&#19975;&#36890;&#22320;&#20135;\0&#23458;&#25143;&#36164;&#26009;\3&#26032;&#22478;&#22269;&#38469;\&#37073;&#31168;&#23792;\&#20808;&#38155;&#25253;&#34920;\2002&#26032;\&#20808;&#38155;2002&#24180;--&#29616;&#37329;&#27969;&#37327;&#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事业发展"/>
      <sheetName val="原报调整分录"/>
      <sheetName val="审计调整分录"/>
      <sheetName val="00000ppy"/>
      <sheetName val="SW-TEO"/>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事业发展"/>
      <sheetName val="SW-TEO"/>
      <sheetName val="待摊费用明细表"/>
      <sheetName val="资产评估结果分类汇总表 (2)"/>
      <sheetName val="eqpmad2"/>
      <sheetName val="P1012001"/>
      <sheetName val="Toolbox"/>
      <sheetName val="00000ppy"/>
      <sheetName val="村级支出"/>
      <sheetName val="原报调整分录"/>
      <sheetName val="审计调整分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2年一般预算收入"/>
      <sheetName val="P1012001"/>
      <sheetName val="Main"/>
      <sheetName val="待摊费用明细表"/>
      <sheetName val="原报调整分录"/>
      <sheetName val="审计调整分录"/>
      <sheetName val="本年收入合计"/>
      <sheetName val="资产评估结果分类汇总表 (2)"/>
      <sheetName val="村级支出"/>
      <sheetName val="Op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商税收"/>
      <sheetName val="原报调整分录"/>
      <sheetName val="审计调整分录"/>
      <sheetName val="P1012001"/>
      <sheetName val="总人口"/>
      <sheetName val="Main"/>
      <sheetName val="Open"/>
      <sheetName val="本年收入合计"/>
      <sheetName val="汇总"/>
      <sheetName val="待摊费用明细表"/>
      <sheetName val="XL4Poppy"/>
      <sheetName val="基础编码"/>
      <sheetName val="Tool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en"/>
      <sheetName val="G.1R-Shou COP Gf"/>
      <sheetName val="P1012001"/>
      <sheetName val="XL4Poppy"/>
      <sheetName val="原报调整分录"/>
      <sheetName val="审计调整分录"/>
      <sheetName val="2-5附件2"/>
      <sheetName val="Toolbox"/>
      <sheetName val="本年收入合计"/>
      <sheetName val="Main"/>
      <sheetName val="封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olbox"/>
      <sheetName val="编码"/>
      <sheetName val="POWER ASSUMPTIONS"/>
      <sheetName val="四月份月报"/>
      <sheetName val="Open"/>
      <sheetName val="原报调整分录"/>
      <sheetName val="审计调整分录"/>
      <sheetName val="00000ppy"/>
      <sheetName val="G.1R-Shou COP Gf"/>
      <sheetName val="汇总"/>
      <sheetName val="财政供养人员增幅"/>
      <sheetName val="P1012001"/>
      <sheetName val="GD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1R-Shou COP Gf"/>
      <sheetName val="Toolbox"/>
      <sheetName val="Open"/>
      <sheetName val="00000ppy"/>
      <sheetName val="POWER ASSUMPTIONS"/>
      <sheetName val="XL4Poppy"/>
      <sheetName val="原报调整分录"/>
      <sheetName val="审计调整分录"/>
      <sheetName val="GD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WER ASSUMPTIONS"/>
      <sheetName val="人员支出"/>
      <sheetName val="G.1R-Shou COP Gf"/>
      <sheetName val="Toolbox"/>
    </sheetNames>
    <sheetDataSet>
      <sheetData sheetId="0"/>
      <sheetData sheetId="1"/>
      <sheetData sheetId="2"/>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olbox"/>
      <sheetName val="中小学生"/>
      <sheetName val="G.1R-Shou COP Gf"/>
      <sheetName val="POWER ASSUMPTIONS"/>
      <sheetName val="本年收入合计"/>
      <sheetName val="财政供养人员增幅"/>
      <sheetName val="村级支出"/>
      <sheetName val="汇总"/>
      <sheetName val="00000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本年收入合计"/>
      <sheetName val="01.增值税"/>
      <sheetName val="03.营业税"/>
      <sheetName val="04.企业所得税"/>
      <sheetName val="07.个人所得税"/>
      <sheetName val="08.资源税"/>
      <sheetName val="09.投调税"/>
      <sheetName val="10.城建税"/>
      <sheetName val="11.房产税"/>
      <sheetName val="12.印花税"/>
      <sheetName val="13.城镇土地使用税"/>
      <sheetName val="14.土地增值税"/>
      <sheetName val="15.车船使用和牌照税"/>
      <sheetName val="25.屠宰税"/>
      <sheetName val="30.农业税"/>
      <sheetName val="31.烟叶农特税"/>
      <sheetName val="33.耕地占用税"/>
      <sheetName val="34.契税"/>
      <sheetName val="40.经营收益"/>
      <sheetName val="41.亏损补贴"/>
      <sheetName val="42.行政性收费"/>
      <sheetName val="43.罚没收入"/>
      <sheetName val="70.专项收入"/>
      <sheetName val="71.其他收入"/>
      <sheetName val="Toolbox"/>
      <sheetName val="POWER ASSUMPTIONS"/>
      <sheetName val="汇总"/>
      <sheetName val="XL4Poppy"/>
      <sheetName val="封面"/>
      <sheetName val="G.1R-Shou COP Gf"/>
      <sheetName val="财政供养人员增幅"/>
      <sheetName val="村级支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本年收入合计"/>
      <sheetName val="01.增值税"/>
      <sheetName val="03.营业税"/>
      <sheetName val="04.企业所得税"/>
      <sheetName val="07.个人所得税"/>
      <sheetName val="08.资源税"/>
      <sheetName val="09.投调税"/>
      <sheetName val="10.城建税"/>
      <sheetName val="11.房产税"/>
      <sheetName val="12.印花税"/>
      <sheetName val="13.城镇土地使用税"/>
      <sheetName val="14.土地增值税"/>
      <sheetName val="15.车船使用和牌照税"/>
      <sheetName val="25.屠宰税"/>
      <sheetName val="30.农业税"/>
      <sheetName val="31.烟叶农特税"/>
      <sheetName val="33.耕地占用税"/>
      <sheetName val="34.契税"/>
      <sheetName val="40.经营收益"/>
      <sheetName val="41.亏损补贴"/>
      <sheetName val="42.行政性收费"/>
      <sheetName val="43.罚没收入"/>
      <sheetName val="70.专项收入"/>
      <sheetName val="71.其他收入"/>
      <sheetName val="Main"/>
      <sheetName val="Tool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W-TEO"/>
      <sheetName val="POWER ASSUMPTIONS"/>
      <sheetName val="Open"/>
      <sheetName val="合计"/>
      <sheetName val="2-5附件2"/>
      <sheetName val="原报调整分录"/>
      <sheetName val="审计调整分录"/>
      <sheetName val="待摊费用明细表"/>
      <sheetName val="eqpmad2"/>
      <sheetName val="P1012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四月份月报"/>
      <sheetName val="合计"/>
      <sheetName val="Toolbox"/>
      <sheetName val="汇总"/>
      <sheetName val="人员支出"/>
      <sheetName val="工商税收"/>
      <sheetName val="本年收入合计"/>
      <sheetName val="村级支出"/>
      <sheetName val="短期借款余额表"/>
      <sheetName val="财政供养人员增幅"/>
      <sheetName val="POWER ASSUMPTIONS"/>
      <sheetName val="封面"/>
      <sheetName val="GDP"/>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农业人口"/>
      <sheetName val="财政供养人员增幅"/>
      <sheetName val="汇总"/>
      <sheetName val="本年收入合计"/>
      <sheetName val="XL4Poppy"/>
      <sheetName val="封面"/>
      <sheetName val="村级支出"/>
      <sheetName val="Toolbox"/>
      <sheetName val="GDP"/>
      <sheetName val="短期借款余额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财政供养人员增幅"/>
      <sheetName val="编码"/>
      <sheetName val="汇总"/>
      <sheetName val="四月份月报"/>
    </sheetNames>
    <sheetDataSet>
      <sheetData sheetId="0" refreshError="1"/>
      <sheetData sheetId="1" refreshError="1"/>
      <sheetData sheetId="2" refreshError="1"/>
      <sheetData sheetId="3" refreshError="1"/>
      <sheetData sheetId="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封面"/>
      <sheetName val="目录"/>
      <sheetName val="A01"/>
      <sheetName val="A02"/>
      <sheetName val="A03"/>
      <sheetName val="A04"/>
      <sheetName val="A05"/>
      <sheetName val="A06"/>
      <sheetName val="A07"/>
      <sheetName val="村级支出"/>
      <sheetName val="财政供养人员增幅"/>
      <sheetName val="本年收入合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村级支出"/>
      <sheetName val="C01-1"/>
      <sheetName val="财政供养人员增幅"/>
    </sheetNames>
    <sheetDataSet>
      <sheetData sheetId="0" refreshError="1"/>
      <sheetData sheetId="1" refreshError="1"/>
      <sheetData sheetId="2" refreshError="1"/>
      <sheetData sheetId="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XL4Poppy"/>
      <sheetName val="P1012001"/>
      <sheetName val="Open"/>
      <sheetName val="村级支出"/>
      <sheetName val="财政供养人员增幅"/>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1012001"/>
      <sheetName val="eqpmad2"/>
      <sheetName val="GDP"/>
      <sheetName val="基础编码"/>
      <sheetName val="封面"/>
      <sheetName val="XL4Poppy"/>
      <sheetName val="村级支出"/>
      <sheetName val="财政供养人员增幅"/>
      <sheetName val="中小学生"/>
      <sheetName val="工商税收"/>
      <sheetName val="一般预算收入"/>
      <sheetName val="公检法司编制"/>
      <sheetName val="行政编制"/>
      <sheetName val="汇总"/>
      <sheetName val="农业用地"/>
      <sheetName val="2002年一般预算收入"/>
      <sheetName val="C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农业用地"/>
      <sheetName val="GDP"/>
      <sheetName val="封面"/>
      <sheetName val="XL4Poppy"/>
      <sheetName val="财政供养人员增幅"/>
    </sheetNames>
    <sheetDataSet>
      <sheetData sheetId="0" refreshError="1"/>
      <sheetData sheetId="1" refreshError="1"/>
      <sheetData sheetId="2" refreshError="1"/>
      <sheetData sheetId="3" refreshError="1"/>
      <sheetData sheetId="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封面"/>
      <sheetName val="目录"/>
      <sheetName val="A01"/>
      <sheetName val="A02"/>
      <sheetName val="A03"/>
      <sheetName val="A04"/>
      <sheetName val="A05"/>
      <sheetName val="A06"/>
      <sheetName val="A07"/>
      <sheetName val="G.1R-Shou COP Gf"/>
      <sheetName val="村级支出"/>
      <sheetName val="P1012001"/>
      <sheetName val="XL4Poppy"/>
      <sheetName val="基础编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DP"/>
      <sheetName val="合计"/>
      <sheetName val="XL4Poppy"/>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pmad2"/>
      <sheetName val="SW-TEO"/>
      <sheetName val="POWER ASSUMPTIONS"/>
      <sheetName val="Open"/>
      <sheetName val="合计"/>
      <sheetName val="清单汇总"/>
      <sheetName val="主线铪盖板涵"/>
      <sheetName val="主线铪箱涵"/>
      <sheetName val="铪圆管涵"/>
      <sheetName val="通道改路盖板涵"/>
      <sheetName val="通道改路圆管涵"/>
      <sheetName val="铪盖板通道"/>
      <sheetName val="铪箱涵通道"/>
      <sheetName val="改路土石方"/>
      <sheetName val="排水工程"/>
      <sheetName val="边坡防护"/>
      <sheetName val="圆管涵"/>
      <sheetName val="盖板涵"/>
      <sheetName val="板式通道"/>
      <sheetName val="箱式通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资产评估结果汇总表"/>
      <sheetName val="资产评估结果分类汇总表"/>
      <sheetName val="资产评估结果分类汇总表 (2)"/>
      <sheetName val="资产评估申报核对表"/>
      <sheetName val="一般预算收入"/>
      <sheetName val="短期借款余额表"/>
      <sheetName val="封面"/>
      <sheetName val="GDP"/>
      <sheetName val="村级支出"/>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般预算收入"/>
      <sheetName val="行政区划"/>
      <sheetName val="封面"/>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行政区划"/>
      <sheetName val="工商税收"/>
      <sheetName val="一般预算收入"/>
      <sheetName val="短期借款余额表"/>
      <sheetName val="XL4Poppy"/>
      <sheetName val="C01-1"/>
      <sheetName val="公检法司编制"/>
      <sheetName val="行政编制"/>
      <sheetName val="威灵电机"/>
      <sheetName val="村级支出"/>
      <sheetName val="材料单价一栏表"/>
      <sheetName val="P1012001"/>
      <sheetName val="封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商税收"/>
      <sheetName val="00000ppy"/>
      <sheetName val="GDP"/>
    </sheetNames>
    <sheetDataSet>
      <sheetData sheetId="0" refreshError="1"/>
      <sheetData sheetId="1" refreshError="1"/>
      <sheetData sheetId="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行政编制"/>
      <sheetName val="公检法司编制"/>
      <sheetName val="行政和公检法司人数"/>
      <sheetName val="工商税收"/>
      <sheetName val="一般预算收入"/>
      <sheetName val="封面"/>
      <sheetName val="事业发展"/>
      <sheetName val="合计"/>
      <sheetName val="XL4Poppy"/>
      <sheetName val="GD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行政编制"/>
      <sheetName val="公检法司编制"/>
      <sheetName val="行政和公检法司人数"/>
      <sheetName val="汇总"/>
      <sheetName val="事业发展"/>
      <sheetName val="一般预算收入"/>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DP"/>
      <sheetName val="合计"/>
      <sheetName val="公检法司编制"/>
      <sheetName val="行政编制"/>
      <sheetName val="工商税收"/>
      <sheetName val="行政区划"/>
      <sheetName val="农业人口"/>
      <sheetName val="编码"/>
      <sheetName val="封面"/>
      <sheetName val="短期借款余额表"/>
      <sheetName val="P1012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合计"/>
      <sheetName val="行政"/>
      <sheetName val="公检法司"/>
      <sheetName val="教育"/>
      <sheetName val="其他事业"/>
      <sheetName val="GDP"/>
      <sheetName val="工商税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封面"/>
      <sheetName val="目录"/>
      <sheetName val="项目预算填写说明"/>
      <sheetName val="项目概况"/>
      <sheetName val="02预算成本汇总表"/>
      <sheetName val="附表02-直接成本"/>
      <sheetName val="附表02.1主材价格表"/>
      <sheetName val="附表02.1.1拌合站费用"/>
      <sheetName val="附表02.1.2配合比"/>
      <sheetName val="附表02.2-措施工程成本预算表"/>
      <sheetName val="附表03直接成本（其他工程）"/>
      <sheetName val="附表03.1临时设施费"/>
      <sheetName val="附表04-间接成本"/>
      <sheetName val="附表04.1-职员费用"/>
      <sheetName val="附表04.1.1-职员费用(基本工资)"/>
      <sheetName val="附表04.2.1_办公设备及家具"/>
      <sheetName val="附表05-项目人员流量表"/>
      <sheetName val="【2012】21号文件"/>
      <sheetName val="编码"/>
      <sheetName val="合计"/>
      <sheetName val="公检法司编制"/>
      <sheetName val="行政编制"/>
      <sheetName val="短期借款余额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单位信息1"/>
      <sheetName val="单位信息2"/>
      <sheetName val="非税征收"/>
      <sheetName val="政府采购"/>
      <sheetName val="基本支出预算"/>
      <sheetName val="项目预算"/>
      <sheetName val="成本性预算"/>
      <sheetName val="收支预算总表"/>
      <sheetName val="编码"/>
      <sheetName val="农业用地"/>
      <sheetName val="公检法司编制"/>
      <sheetName val="行政编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pmad2"/>
      <sheetName val="SW-TEO"/>
      <sheetName val="POWER ASSUMPTIONS"/>
      <sheetName val="Open"/>
      <sheetName val="合计"/>
      <sheetName val="清单汇总"/>
      <sheetName val="主线铪盖板涵"/>
      <sheetName val="主线铪箱涵"/>
      <sheetName val="铪圆管涵"/>
      <sheetName val="通道改路盖板涵"/>
      <sheetName val="通道改路圆管涵"/>
      <sheetName val="铪盖板通道"/>
      <sheetName val="铪箱涵通道"/>
      <sheetName val="改路土石方"/>
      <sheetName val="排水工程"/>
      <sheetName val="边坡防护"/>
      <sheetName val="圆管涵"/>
      <sheetName val="盖板涵"/>
      <sheetName val="板式通道"/>
      <sheetName val="箱式通道"/>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 val="四月份月报"/>
      <sheetName val="财政供养人员增幅"/>
      <sheetName val="短期借款余额表"/>
      <sheetName val="总人口"/>
      <sheetName val="GDP"/>
      <sheetName val="清单复核明细 "/>
      <sheetName val="护肩"/>
      <sheetName val="路堑墙（1）"/>
      <sheetName val="路肩墙"/>
      <sheetName val="K22+580中桥钢筋"/>
      <sheetName val="K24+930中桥钢筋"/>
      <sheetName val="Sheet2"/>
      <sheetName val="桥钢筋合计"/>
      <sheetName val="Sheet1"/>
      <sheetName val="配合比"/>
      <sheetName val="排水"/>
      <sheetName val="蒸发池"/>
      <sheetName val="2工区清单"/>
      <sheetName val="Sheet3"/>
      <sheetName val="工程量汇总"/>
      <sheetName val="图纸问题"/>
      <sheetName val="基坑开挖、桥背回填、钢护筒"/>
      <sheetName val="桩基"/>
      <sheetName val="地系梁及承台"/>
      <sheetName val="桥台扩大基础、前墙、侧墙"/>
      <sheetName val="墩柱"/>
      <sheetName val="柱系梁 "/>
      <sheetName val="桥墩盖梁"/>
      <sheetName val="桥台台帽、背墙、侧墙顶"/>
      <sheetName val="挡块"/>
      <sheetName val="垫石"/>
      <sheetName val="支座"/>
      <sheetName val="预制20m小箱梁"/>
      <sheetName val="现浇湿接缝"/>
      <sheetName val="墩顶现浇连续段"/>
      <sheetName val="预应力 (2)"/>
      <sheetName val="铺装 (2)"/>
      <sheetName val="伸缩缝 (2)"/>
      <sheetName val="护栏 (2)"/>
      <sheetName val="搭板枕梁"/>
      <sheetName val="泄水管"/>
      <sheetName val="图纸错误"/>
      <sheetName val="预留槽"/>
      <sheetName val="伸缩缝"/>
      <sheetName val="搭板、枕梁"/>
      <sheetName val="护栏"/>
      <sheetName val="声测管"/>
      <sheetName val="铺装"/>
      <sheetName val="锥坡"/>
      <sheetName val="预应力"/>
      <sheetName val="预制箱梁"/>
      <sheetName val="封面"/>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中小学生"/>
      <sheetName val="农业人口"/>
      <sheetName val="编码"/>
      <sheetName val="合计"/>
      <sheetName val="一般预算收入"/>
      <sheetName val="人员支出"/>
      <sheetName val="C01-1"/>
      <sheetName val="农业用地"/>
      <sheetName val="GDP"/>
      <sheetName val="工商税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农业人口"/>
      <sheetName val="2002年一般预算收入"/>
      <sheetName val="合计"/>
      <sheetName val="四月份月报"/>
    </sheetNames>
    <sheetDataSet>
      <sheetData sheetId="0" refreshError="1"/>
      <sheetData sheetId="1" refreshError="1"/>
      <sheetData sheetId="2" refreshError="1"/>
      <sheetData sheetId="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C01-1"/>
      <sheetName val="人员支出"/>
      <sheetName val="本年收入合计"/>
      <sheetName val="农业用地"/>
      <sheetName val="P1012001"/>
      <sheetName val="农业人口"/>
      <sheetName val="编码"/>
      <sheetName val="工商税收"/>
      <sheetName val="合计"/>
      <sheetName val="短期借款余额表"/>
      <sheetName val="公检法司编制"/>
      <sheetName val="行政编制"/>
      <sheetName val="一般预算收入"/>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农业用地"/>
      <sheetName val="Financ. Overview"/>
      <sheetName val="Toolbox"/>
      <sheetName val="编码"/>
      <sheetName val="C01-1"/>
      <sheetName val="农业人口"/>
    </sheetNames>
    <sheetDataSet>
      <sheetData sheetId="0" refreshError="1"/>
      <sheetData sheetId="1" refreshError="1"/>
      <sheetData sheetId="2" refreshError="1"/>
      <sheetData sheetId="3"/>
      <sheetData sheetId="4"/>
      <sheetData sheetId="5"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短期借款余额表"/>
      <sheetName val="C01-1"/>
      <sheetName val="农业用地"/>
      <sheetName val="农业人口"/>
      <sheetName val="工商税收"/>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人员支出"/>
      <sheetName val="公检法司编制"/>
      <sheetName val="行政编制"/>
      <sheetName val="农业用地"/>
    </sheetNames>
    <sheetDataSet>
      <sheetData sheetId="0" refreshError="1"/>
      <sheetData sheetId="1" refreshError="1"/>
      <sheetData sheetId="2" refreshError="1"/>
      <sheetData sheetId="3" refreshError="1"/>
      <sheetData sheetId="4"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存货审定表"/>
      <sheetName val="审定表"/>
      <sheetName val="待摊费用明细表"/>
      <sheetName val="财务费用明细表"/>
      <sheetName val="2002年万置占用资金利息"/>
      <sheetName val="应付账款余额明细表"/>
      <sheetName val="事业发展"/>
      <sheetName val="人员支出"/>
      <sheetName val="农业用地"/>
      <sheetName val="C01-1"/>
      <sheetName val="公检法司编制"/>
      <sheetName val="行政编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事业发展"/>
      <sheetName val="SW-TEO"/>
      <sheetName val="农业用地"/>
    </sheetNames>
    <sheetDataSet>
      <sheetData sheetId="0" refreshError="1"/>
      <sheetData sheetId="1" refreshError="1"/>
      <sheetData sheetId="2" refreshError="1"/>
      <sheetData sheetId="3"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总人口"/>
      <sheetName val="四月份月报"/>
      <sheetName val="事业发展"/>
      <sheetName val="人员支出"/>
      <sheetName val="合计"/>
      <sheetName val="行政区划"/>
      <sheetName val="基础编码"/>
      <sheetName val="工商税收"/>
      <sheetName val="短期借款余额表"/>
      <sheetName val="公检法司编制"/>
      <sheetName val="行政编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 val="四月份月报"/>
      <sheetName val="财政供养人员增幅"/>
      <sheetName val="短期借款余额表"/>
      <sheetName val="总人口"/>
      <sheetName val="图纸复核存在问题"/>
      <sheetName val="汇总表"/>
      <sheetName val="300章 "/>
      <sheetName val="主线工程量"/>
      <sheetName val="路面每公里主线 "/>
      <sheetName val="宽度"/>
      <sheetName val="中开口工程量"/>
      <sheetName val="互通、服务区工程量"/>
      <sheetName val="中带工程量"/>
      <sheetName val="超纵集水沟工程量"/>
      <sheetName val="超排水管工程量 "/>
      <sheetName val="急流槽"/>
      <sheetName val="砼路面接缝钢筋"/>
      <sheetName val="路堑边沟 "/>
      <sheetName val="400章"/>
      <sheetName val="桥梁统计"/>
      <sheetName val="500章"/>
      <sheetName val="隧道路面工程量"/>
      <sheetName val="清单汇总"/>
      <sheetName val="工程量汇总"/>
      <sheetName val="图纸问题"/>
      <sheetName val="基坑开挖、桥背回填、钢护筒"/>
      <sheetName val="桩基"/>
      <sheetName val="地系梁及承台"/>
      <sheetName val="桥台扩大基础、前墙、侧墙"/>
      <sheetName val="墩柱"/>
      <sheetName val="柱系梁 "/>
      <sheetName val="桥墩盖梁"/>
      <sheetName val="桥台台帽、背墙、侧墙顶"/>
      <sheetName val="挡块"/>
      <sheetName val="垫石"/>
      <sheetName val="支座"/>
      <sheetName val="预制20m小箱梁"/>
      <sheetName val="现浇湿接缝"/>
      <sheetName val="墩顶现浇连续段"/>
      <sheetName val="预应力 (2)"/>
      <sheetName val="铺装 (2)"/>
      <sheetName val="伸缩缝 (2)"/>
      <sheetName val="护栏 (2)"/>
      <sheetName val="搭板枕梁"/>
      <sheetName val="泄水管"/>
      <sheetName val="图纸错误"/>
      <sheetName val="预留槽"/>
      <sheetName val="伸缩缝"/>
      <sheetName val="搭板、枕梁"/>
      <sheetName val="护栏"/>
      <sheetName val="声测管"/>
      <sheetName val="铺装"/>
      <sheetName val="锥坡"/>
      <sheetName val="排水"/>
      <sheetName val="预应力"/>
      <sheetName val="预制箱梁"/>
      <sheetName val="事业发展"/>
      <sheetName val="人员支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pmad2"/>
      <sheetName val="待摊费用明细表"/>
      <sheetName val="SW-TEO"/>
      <sheetName val="2-5附件2"/>
      <sheetName val="Open"/>
      <sheetName val="Financ. Overview"/>
      <sheetName val="Toolbox"/>
      <sheetName val="G.1R-Shou COP G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合计"/>
      <sheetName val="行政"/>
      <sheetName val="公检法司"/>
      <sheetName val="教育"/>
      <sheetName val="其他事业"/>
      <sheetName val="行政区划"/>
      <sheetName val="四月份月报"/>
      <sheetName val="人员支出"/>
      <sheetName val="事业发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行政区划"/>
      <sheetName val="封面"/>
      <sheetName val="C01-1"/>
      <sheetName val="人员支出"/>
    </sheetNames>
    <sheetDataSet>
      <sheetData sheetId="0" refreshError="1"/>
      <sheetData sheetId="1" refreshError="1"/>
      <sheetData sheetId="2" refreshError="1"/>
      <sheetData sheetId="3"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现金流量表其他项说明"/>
      <sheetName val="原报调整分录"/>
      <sheetName val="审计调整分录"/>
      <sheetName val="现金流量表审定表"/>
      <sheetName val="报表草稿"/>
      <sheetName val="过程表1"/>
      <sheetName val="附表"/>
      <sheetName val="底稿"/>
      <sheetName val="现金流量表"/>
      <sheetName val="调整"/>
      <sheetName val="基础编码"/>
      <sheetName val="行政区划"/>
      <sheetName val="四月份月报"/>
      <sheetName val="编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单位信息录入表"/>
      <sheetName val="人员信息录入表"/>
      <sheetName val="基础编码"/>
      <sheetName val="农业人口"/>
      <sheetName val="事业发展"/>
      <sheetName val="C01-1"/>
      <sheetName val="中小学生"/>
      <sheetName val="人员支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人员支出"/>
      <sheetName val="2002年一般预算收入"/>
      <sheetName val="基础编码"/>
      <sheetName val="行政区划"/>
      <sheetName val="农业人口"/>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2年一般预算收入"/>
      <sheetName val="四月份月报"/>
      <sheetName val="Main"/>
    </sheetNames>
    <sheetDataSet>
      <sheetData sheetId="0" refreshError="1"/>
      <sheetData sheetId="1" refreshError="1"/>
      <sheetData sheetId="2"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般预算收入"/>
      <sheetName val="P1012001"/>
      <sheetName val="2002年一般预算收入"/>
      <sheetName val="基础编码"/>
      <sheetName val="农业人口"/>
      <sheetName val="总人口"/>
      <sheetName val="中小学生"/>
      <sheetName val="合计"/>
      <sheetName val="事业发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中小学生"/>
      <sheetName val="Toolbox"/>
      <sheetName val="C01-1"/>
      <sheetName val="农业用地"/>
      <sheetName val="农业人口"/>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总人口"/>
      <sheetName val="XL4Poppy"/>
      <sheetName val="P1012001"/>
      <sheetName val="中小学生"/>
      <sheetName val="2002年一般预算收入"/>
    </sheetNames>
    <sheetDataSet>
      <sheetData sheetId="0" refreshError="1"/>
      <sheetData sheetId="1" refreshError="1"/>
      <sheetData sheetId="2"/>
      <sheetData sheetId="3" refreshError="1"/>
      <sheetData sheetId="4"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汇总表"/>
      <sheetName val="路基（劳务费）"/>
      <sheetName val="桥涵（劳务费）"/>
      <sheetName val="隧道（劳务费按米） "/>
      <sheetName val="机械设备费"/>
      <sheetName val="路基、桥梁（材料费）"/>
      <sheetName val="隧道（材料费）"/>
      <sheetName val="配合比"/>
      <sheetName val="其他直接费"/>
      <sheetName val="临时设施费"/>
      <sheetName val="砼拌和运输费用"/>
      <sheetName val="间接费"/>
      <sheetName val="税费"/>
      <sheetName val="税 费"/>
      <sheetName val="税负测算(审核)"/>
      <sheetName val="税负测算 (二次调整)"/>
      <sheetName val="200章"/>
      <sheetName val="400章"/>
      <sheetName val="500章"/>
    </sheetNames>
    <sheetDataSet>
      <sheetData sheetId="0">
        <row r="6">
          <cell r="E6">
            <v>270223388.62919402</v>
          </cell>
        </row>
        <row r="9">
          <cell r="F9">
            <v>48450551.279435404</v>
          </cell>
        </row>
        <row r="11">
          <cell r="F11">
            <v>426177880.12586498</v>
          </cell>
        </row>
        <row r="18">
          <cell r="D18">
            <v>1109163664.8934901</v>
          </cell>
        </row>
      </sheetData>
      <sheetData sheetId="1"/>
      <sheetData sheetId="2"/>
      <sheetData sheetId="3"/>
      <sheetData sheetId="4">
        <row r="6">
          <cell r="L6">
            <v>648000</v>
          </cell>
        </row>
        <row r="7">
          <cell r="L7">
            <v>990000</v>
          </cell>
        </row>
        <row r="8">
          <cell r="L8">
            <v>360000</v>
          </cell>
        </row>
        <row r="9">
          <cell r="L9">
            <v>864000</v>
          </cell>
        </row>
        <row r="10">
          <cell r="L10">
            <v>3000000</v>
          </cell>
        </row>
        <row r="11">
          <cell r="L11">
            <v>150000</v>
          </cell>
        </row>
        <row r="12">
          <cell r="L12">
            <v>740000</v>
          </cell>
        </row>
        <row r="13">
          <cell r="L13">
            <v>200000</v>
          </cell>
        </row>
        <row r="14">
          <cell r="L14">
            <v>440000</v>
          </cell>
        </row>
        <row r="15">
          <cell r="L15">
            <v>80000</v>
          </cell>
        </row>
        <row r="16">
          <cell r="L16">
            <v>112000</v>
          </cell>
        </row>
        <row r="17">
          <cell r="L17">
            <v>88500</v>
          </cell>
        </row>
        <row r="18">
          <cell r="L18">
            <v>0</v>
          </cell>
        </row>
        <row r="19">
          <cell r="L19">
            <v>2880000</v>
          </cell>
        </row>
        <row r="20">
          <cell r="L20">
            <v>2560000</v>
          </cell>
        </row>
        <row r="21">
          <cell r="L21">
            <v>768000</v>
          </cell>
        </row>
        <row r="22">
          <cell r="L22">
            <v>627200</v>
          </cell>
        </row>
        <row r="23">
          <cell r="L23">
            <v>355680</v>
          </cell>
        </row>
        <row r="24">
          <cell r="L24">
            <v>474240</v>
          </cell>
        </row>
        <row r="25">
          <cell r="L25">
            <v>177840</v>
          </cell>
        </row>
        <row r="26">
          <cell r="L26">
            <v>217600</v>
          </cell>
        </row>
        <row r="27">
          <cell r="L27">
            <v>21760</v>
          </cell>
        </row>
        <row r="28">
          <cell r="L28">
            <v>163200</v>
          </cell>
        </row>
        <row r="29">
          <cell r="L29">
            <v>108800</v>
          </cell>
        </row>
        <row r="30">
          <cell r="L30">
            <v>80000</v>
          </cell>
        </row>
        <row r="31">
          <cell r="L31">
            <v>18240000</v>
          </cell>
        </row>
      </sheetData>
      <sheetData sheetId="5">
        <row r="9">
          <cell r="N9">
            <v>11744.146176</v>
          </cell>
        </row>
        <row r="10">
          <cell r="N10">
            <v>39836.4876</v>
          </cell>
        </row>
        <row r="21">
          <cell r="N21">
            <v>661894.8504</v>
          </cell>
        </row>
        <row r="22">
          <cell r="N22">
            <v>20626012.999745999</v>
          </cell>
        </row>
        <row r="23">
          <cell r="N23">
            <v>1569217.3731</v>
          </cell>
        </row>
        <row r="24">
          <cell r="N24">
            <v>23083.134480000001</v>
          </cell>
        </row>
        <row r="25">
          <cell r="N25">
            <v>2170195.5131999999</v>
          </cell>
        </row>
        <row r="28">
          <cell r="N28">
            <v>51274.944000000003</v>
          </cell>
        </row>
        <row r="29">
          <cell r="N29">
            <v>23920.677</v>
          </cell>
        </row>
        <row r="30">
          <cell r="N30">
            <v>205167.6</v>
          </cell>
        </row>
        <row r="31">
          <cell r="N31">
            <v>31240.566500000001</v>
          </cell>
        </row>
        <row r="32">
          <cell r="N32">
            <v>0</v>
          </cell>
        </row>
        <row r="33">
          <cell r="N33">
            <v>1618883.52</v>
          </cell>
        </row>
        <row r="34">
          <cell r="N34">
            <v>14080</v>
          </cell>
        </row>
        <row r="35">
          <cell r="N35">
            <v>47360</v>
          </cell>
        </row>
        <row r="36">
          <cell r="N36">
            <v>112896</v>
          </cell>
        </row>
        <row r="37">
          <cell r="N37">
            <v>66560</v>
          </cell>
        </row>
        <row r="38">
          <cell r="N38">
            <v>1440</v>
          </cell>
        </row>
        <row r="39">
          <cell r="N39">
            <v>86400</v>
          </cell>
        </row>
        <row r="40">
          <cell r="N40">
            <v>78848</v>
          </cell>
        </row>
        <row r="41">
          <cell r="N41">
            <v>33000.660000000003</v>
          </cell>
        </row>
        <row r="42">
          <cell r="N42">
            <v>778.14</v>
          </cell>
        </row>
        <row r="43">
          <cell r="N43">
            <v>62042.112000000001</v>
          </cell>
        </row>
        <row r="44">
          <cell r="N44">
            <v>243611.63200000001</v>
          </cell>
        </row>
        <row r="45">
          <cell r="N45">
            <v>28355.184000000001</v>
          </cell>
        </row>
        <row r="46">
          <cell r="N46">
            <v>330009.59999999998</v>
          </cell>
        </row>
        <row r="47">
          <cell r="N47">
            <v>4519.2</v>
          </cell>
        </row>
        <row r="48">
          <cell r="N48">
            <v>159170</v>
          </cell>
        </row>
        <row r="49">
          <cell r="N49">
            <v>165072</v>
          </cell>
        </row>
      </sheetData>
      <sheetData sheetId="6">
        <row r="28">
          <cell r="L28">
            <v>102900</v>
          </cell>
        </row>
        <row r="39">
          <cell r="L39">
            <v>178954026.69999999</v>
          </cell>
        </row>
      </sheetData>
      <sheetData sheetId="7">
        <row r="50">
          <cell r="G50">
            <v>0</v>
          </cell>
        </row>
        <row r="51">
          <cell r="G51">
            <v>76394211.270607993</v>
          </cell>
        </row>
        <row r="52">
          <cell r="G52">
            <v>2885662.5839999998</v>
          </cell>
        </row>
        <row r="53">
          <cell r="G53">
            <v>40301085.004636198</v>
          </cell>
        </row>
        <row r="54">
          <cell r="G54">
            <v>47071029.986688599</v>
          </cell>
        </row>
        <row r="55">
          <cell r="G55">
            <v>5734916.6578088803</v>
          </cell>
        </row>
      </sheetData>
      <sheetData sheetId="8">
        <row r="5">
          <cell r="H5">
            <v>11341190</v>
          </cell>
        </row>
        <row r="6">
          <cell r="H6">
            <v>7560794</v>
          </cell>
        </row>
        <row r="7">
          <cell r="H7">
            <v>1260132</v>
          </cell>
        </row>
        <row r="8">
          <cell r="H8">
            <v>11341190</v>
          </cell>
        </row>
        <row r="9">
          <cell r="H9">
            <v>186261</v>
          </cell>
        </row>
        <row r="10">
          <cell r="H10">
            <v>2140175</v>
          </cell>
        </row>
        <row r="11">
          <cell r="H11">
            <v>0</v>
          </cell>
        </row>
        <row r="12">
          <cell r="H12">
            <v>800000</v>
          </cell>
        </row>
        <row r="13">
          <cell r="H13">
            <v>3780397</v>
          </cell>
        </row>
        <row r="14">
          <cell r="H14">
            <v>4192000</v>
          </cell>
        </row>
      </sheetData>
      <sheetData sheetId="9">
        <row r="5">
          <cell r="H5">
            <v>560000</v>
          </cell>
        </row>
        <row r="6">
          <cell r="H6">
            <v>17953332.768388499</v>
          </cell>
        </row>
        <row r="7">
          <cell r="H7">
            <v>2437760</v>
          </cell>
        </row>
        <row r="8">
          <cell r="H8">
            <v>1830000</v>
          </cell>
        </row>
        <row r="9">
          <cell r="H9">
            <v>3524646</v>
          </cell>
        </row>
        <row r="10">
          <cell r="H10">
            <v>180000</v>
          </cell>
        </row>
        <row r="11">
          <cell r="H11">
            <v>135000</v>
          </cell>
        </row>
        <row r="12">
          <cell r="H12">
            <v>45000</v>
          </cell>
        </row>
        <row r="13">
          <cell r="H13">
            <v>1559483</v>
          </cell>
        </row>
        <row r="14">
          <cell r="H14">
            <v>300000</v>
          </cell>
        </row>
        <row r="15">
          <cell r="H15">
            <v>10011685</v>
          </cell>
        </row>
        <row r="17">
          <cell r="H17">
            <v>5644000</v>
          </cell>
        </row>
        <row r="18">
          <cell r="H18">
            <v>16204594</v>
          </cell>
        </row>
      </sheetData>
      <sheetData sheetId="10">
        <row r="13">
          <cell r="D13">
            <v>15680632.663520001</v>
          </cell>
        </row>
      </sheetData>
      <sheetData sheetId="11">
        <row r="22">
          <cell r="C22">
            <v>16000</v>
          </cell>
        </row>
        <row r="23">
          <cell r="C23">
            <v>120000</v>
          </cell>
        </row>
        <row r="24">
          <cell r="C24">
            <v>1048320</v>
          </cell>
        </row>
        <row r="25">
          <cell r="C25">
            <v>40800</v>
          </cell>
        </row>
        <row r="26">
          <cell r="C26">
            <v>2080000</v>
          </cell>
        </row>
        <row r="27">
          <cell r="C27">
            <v>16000</v>
          </cell>
        </row>
        <row r="28">
          <cell r="C28">
            <v>500000</v>
          </cell>
        </row>
        <row r="30">
          <cell r="C30">
            <v>331000</v>
          </cell>
        </row>
        <row r="31">
          <cell r="C31">
            <v>223200</v>
          </cell>
        </row>
        <row r="32">
          <cell r="C32">
            <v>80000</v>
          </cell>
        </row>
        <row r="33">
          <cell r="C33">
            <v>120000</v>
          </cell>
        </row>
        <row r="34">
          <cell r="C34">
            <v>116000</v>
          </cell>
        </row>
        <row r="35">
          <cell r="C35">
            <v>504000</v>
          </cell>
        </row>
        <row r="36">
          <cell r="C36">
            <v>7282220.1100000003</v>
          </cell>
        </row>
        <row r="37">
          <cell r="C37">
            <v>420000</v>
          </cell>
        </row>
        <row r="38">
          <cell r="C38">
            <v>1500000</v>
          </cell>
        </row>
        <row r="39">
          <cell r="C39">
            <v>144000</v>
          </cell>
        </row>
        <row r="40">
          <cell r="C40">
            <v>2400000</v>
          </cell>
        </row>
        <row r="41">
          <cell r="C41">
            <v>240000</v>
          </cell>
        </row>
      </sheetData>
      <sheetData sheetId="12"/>
      <sheetData sheetId="13"/>
      <sheetData sheetId="14"/>
      <sheetData sheetId="15"/>
      <sheetData sheetId="16"/>
      <sheetData sheetId="17"/>
      <sheetData sheetId="1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 Overview"/>
      <sheetName val="Toolbox"/>
      <sheetName val="eqpmad2"/>
      <sheetName val="SW-TEO"/>
      <sheetName val="00000ppy"/>
      <sheetName val="汇总"/>
      <sheetName val="GDP"/>
      <sheetName val="2-5附件2"/>
      <sheetName val="POWER 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成测表1"/>
      <sheetName val="成测表2直接费"/>
      <sheetName val="成测表2-1"/>
      <sheetName val="成测表2-2"/>
      <sheetName val="成测表2-2（交安、绿化）"/>
      <sheetName val="配合比"/>
      <sheetName val="材料价格表"/>
      <sheetName val="成测表2-3"/>
      <sheetName val="成测表2-4"/>
      <sheetName val="成测表2-5"/>
      <sheetName val="间接费"/>
      <sheetName val="成测表2-6"/>
      <sheetName val="成测表4"/>
      <sheetName val="成测表5税负测算"/>
      <sheetName val="500章"/>
    </sheetNames>
    <sheetDataSet>
      <sheetData sheetId="0">
        <row r="40">
          <cell r="D40">
            <v>46324165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汇总"/>
      <sheetName val="2直接费"/>
      <sheetName val="2-1"/>
      <sheetName val="2-2"/>
      <sheetName val="材料明细表"/>
      <sheetName val="零星材料"/>
      <sheetName val="2-3"/>
      <sheetName val="2-3表附件1"/>
      <sheetName val="2-3附表2"/>
      <sheetName val="2-3附表3"/>
      <sheetName val="2-3附件4"/>
      <sheetName val="2-4"/>
      <sheetName val="2-4附件"/>
      <sheetName val="2-5"/>
      <sheetName val="2-5附件1"/>
      <sheetName val="2-5附件2"/>
      <sheetName val="2-6"/>
      <sheetName val="2-6附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投标报价汇总表"/>
      <sheetName val="100章总则"/>
      <sheetName val="第200章 收费设施"/>
      <sheetName val="第300章 通信设施"/>
      <sheetName val="400章 监控设施"/>
      <sheetName val="00000ppy"/>
      <sheetName val="工商税收"/>
      <sheetName val="行政区划"/>
      <sheetName val="2-5附件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现金流量表其他项说明"/>
      <sheetName val="原报调整分录"/>
      <sheetName val="审计调整分录"/>
      <sheetName val="现金流量表审定表"/>
      <sheetName val="报表草稿"/>
      <sheetName val="过程表1"/>
      <sheetName val="附表"/>
      <sheetName val="底稿"/>
      <sheetName val="现金流量表"/>
      <sheetName val="调整"/>
      <sheetName val="资产评估结果分类汇总表 (2)"/>
      <sheetName val="00000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4"/>
  <sheetViews>
    <sheetView workbookViewId="0">
      <pane xSplit="1" ySplit="4" topLeftCell="B9" activePane="bottomRight" state="frozen"/>
      <selection pane="topRight"/>
      <selection pane="bottomLeft"/>
      <selection pane="bottomRight" activeCell="G6" sqref="G6"/>
    </sheetView>
  </sheetViews>
  <sheetFormatPr defaultColWidth="10.33203125" defaultRowHeight="13.2"/>
  <cols>
    <col min="1" max="1" width="9.109375" customWidth="1"/>
    <col min="2" max="3" width="7.33203125" customWidth="1"/>
    <col min="4" max="4" width="17.33203125" customWidth="1"/>
    <col min="5" max="6" width="15.6640625" customWidth="1"/>
    <col min="7" max="8" width="11.88671875" customWidth="1"/>
    <col min="9" max="9" width="13.109375" customWidth="1"/>
    <col min="10" max="10" width="16.6640625" customWidth="1"/>
    <col min="11" max="11" width="23.88671875" hidden="1" customWidth="1"/>
    <col min="12" max="12" width="12.88671875" hidden="1" customWidth="1"/>
    <col min="13" max="13" width="12.33203125" hidden="1" customWidth="1"/>
    <col min="14" max="14" width="10.33203125" hidden="1" customWidth="1"/>
  </cols>
  <sheetData>
    <row r="1" spans="1:13" ht="20.399999999999999">
      <c r="A1" s="351" t="s">
        <v>0</v>
      </c>
      <c r="B1" s="351"/>
      <c r="C1" s="351"/>
      <c r="D1" s="351"/>
      <c r="E1" s="351"/>
      <c r="F1" s="351"/>
      <c r="G1" s="351"/>
      <c r="H1" s="352"/>
      <c r="I1" s="351"/>
      <c r="J1" s="351"/>
    </row>
    <row r="2" spans="1:13" ht="24.9" customHeight="1">
      <c r="A2" s="317" t="s">
        <v>1</v>
      </c>
      <c r="B2" s="317"/>
      <c r="C2" s="317"/>
      <c r="D2" s="318"/>
      <c r="E2" s="318"/>
      <c r="F2" s="318"/>
      <c r="G2" s="319"/>
      <c r="H2" s="319"/>
      <c r="I2" s="319"/>
      <c r="J2" s="335" t="s">
        <v>2</v>
      </c>
    </row>
    <row r="3" spans="1:13" ht="15.75" customHeight="1">
      <c r="A3" s="317"/>
      <c r="B3" s="317"/>
      <c r="C3" s="317"/>
      <c r="D3" s="318"/>
      <c r="E3" s="318"/>
      <c r="F3" s="318"/>
      <c r="G3" s="319"/>
      <c r="H3" s="319"/>
      <c r="I3" s="319"/>
      <c r="J3" s="335" t="s">
        <v>3</v>
      </c>
    </row>
    <row r="4" spans="1:13" ht="24.9" customHeight="1">
      <c r="A4" s="320" t="s">
        <v>4</v>
      </c>
      <c r="B4" s="353" t="s">
        <v>5</v>
      </c>
      <c r="C4" s="354"/>
      <c r="D4" s="321" t="s">
        <v>6</v>
      </c>
      <c r="E4" s="322" t="s">
        <v>7</v>
      </c>
      <c r="F4" s="323" t="s">
        <v>8</v>
      </c>
      <c r="G4" s="324" t="s">
        <v>9</v>
      </c>
      <c r="H4" s="324" t="s">
        <v>10</v>
      </c>
      <c r="I4" s="336" t="s">
        <v>11</v>
      </c>
      <c r="J4" s="320" t="s">
        <v>12</v>
      </c>
    </row>
    <row r="5" spans="1:13" ht="24.9" customHeight="1">
      <c r="A5" s="325" t="s">
        <v>13</v>
      </c>
      <c r="B5" s="355" t="s">
        <v>14</v>
      </c>
      <c r="C5" s="356"/>
      <c r="D5" s="326" t="e">
        <f>D6+D13</f>
        <v>#REF!</v>
      </c>
      <c r="E5" s="326" t="e">
        <f>E6+E13</f>
        <v>#REF!</v>
      </c>
      <c r="F5" s="327" t="e">
        <f>F6+F13</f>
        <v>#REF!</v>
      </c>
      <c r="G5" s="328" t="e">
        <f>D5/D18</f>
        <v>#REF!</v>
      </c>
      <c r="H5" s="328" t="e">
        <f>E5/$E$18</f>
        <v>#REF!</v>
      </c>
      <c r="I5" s="337" t="e">
        <f t="shared" ref="I5:I10" si="0">F5/$F$18</f>
        <v>#REF!</v>
      </c>
      <c r="J5" s="338"/>
    </row>
    <row r="6" spans="1:13" ht="24.9" customHeight="1">
      <c r="A6" s="325" t="s">
        <v>15</v>
      </c>
      <c r="B6" s="355" t="s">
        <v>16</v>
      </c>
      <c r="C6" s="356"/>
      <c r="D6" s="326" t="e">
        <f>SUM(D7:D12)</f>
        <v>#REF!</v>
      </c>
      <c r="E6" s="326" t="e">
        <f>SUM(E7:E12)</f>
        <v>#REF!</v>
      </c>
      <c r="F6" s="327" t="e">
        <f>SUM(F7:F12)</f>
        <v>#REF!</v>
      </c>
      <c r="G6" s="328" t="e">
        <f>D6/D18</f>
        <v>#REF!</v>
      </c>
      <c r="H6" s="328" t="e">
        <f t="shared" ref="H6:H10" si="1">E6/$E$18</f>
        <v>#REF!</v>
      </c>
      <c r="I6" s="337" t="e">
        <f t="shared" si="0"/>
        <v>#REF!</v>
      </c>
      <c r="J6" s="339"/>
    </row>
    <row r="7" spans="1:13" ht="24.9" customHeight="1">
      <c r="A7" s="358">
        <v>1</v>
      </c>
      <c r="B7" s="358" t="s">
        <v>17</v>
      </c>
      <c r="C7" s="320" t="s">
        <v>18</v>
      </c>
      <c r="D7" s="329" t="e">
        <f>#REF!+#REF!+#REF!</f>
        <v>#REF!</v>
      </c>
      <c r="E7" s="330" t="e">
        <f>#REF!+#REF!+#REF!</f>
        <v>#REF!</v>
      </c>
      <c r="F7" s="331" t="e">
        <f>#REF!+#REF!+#REF!</f>
        <v>#REF!</v>
      </c>
      <c r="G7" s="324" t="e">
        <f t="shared" ref="G7:G17" si="2">D7/$D$18</f>
        <v>#REF!</v>
      </c>
      <c r="H7" s="324" t="e">
        <f t="shared" si="1"/>
        <v>#REF!</v>
      </c>
      <c r="I7" s="336" t="e">
        <f t="shared" si="0"/>
        <v>#REF!</v>
      </c>
      <c r="J7" s="320"/>
      <c r="M7" s="340" t="e">
        <f>#REF!+#REF!+#REF!</f>
        <v>#REF!</v>
      </c>
    </row>
    <row r="8" spans="1:13" ht="24.9" customHeight="1">
      <c r="A8" s="359"/>
      <c r="B8" s="359"/>
      <c r="C8" s="320" t="s">
        <v>19</v>
      </c>
      <c r="D8" s="330" t="e">
        <f>D7*0.2%</f>
        <v>#REF!</v>
      </c>
      <c r="E8" s="330" t="e">
        <f>E7*0.2%</f>
        <v>#REF!</v>
      </c>
      <c r="F8" s="331" t="e">
        <f>F7*0.2%</f>
        <v>#REF!</v>
      </c>
      <c r="G8" s="324" t="e">
        <f t="shared" si="2"/>
        <v>#REF!</v>
      </c>
      <c r="H8" s="324" t="e">
        <f t="shared" si="1"/>
        <v>#REF!</v>
      </c>
      <c r="I8" s="336" t="e">
        <f t="shared" si="0"/>
        <v>#REF!</v>
      </c>
      <c r="J8" s="320"/>
    </row>
    <row r="9" spans="1:13" ht="24.9" customHeight="1">
      <c r="A9" s="320">
        <v>2</v>
      </c>
      <c r="B9" s="353" t="s">
        <v>20</v>
      </c>
      <c r="C9" s="354"/>
      <c r="D9" s="329" t="e">
        <f>#REF!</f>
        <v>#REF!</v>
      </c>
      <c r="E9" s="330" t="e">
        <f>#REF!</f>
        <v>#REF!</v>
      </c>
      <c r="F9" s="331" t="e">
        <f>#REF!</f>
        <v>#REF!</v>
      </c>
      <c r="G9" s="324" t="e">
        <f t="shared" si="2"/>
        <v>#REF!</v>
      </c>
      <c r="H9" s="324" t="e">
        <f t="shared" si="1"/>
        <v>#REF!</v>
      </c>
      <c r="I9" s="336" t="e">
        <f t="shared" si="0"/>
        <v>#REF!</v>
      </c>
      <c r="J9" s="341"/>
    </row>
    <row r="10" spans="1:13" ht="24.9" customHeight="1">
      <c r="A10" s="358">
        <v>3</v>
      </c>
      <c r="B10" s="358" t="s">
        <v>21</v>
      </c>
      <c r="C10" s="320" t="s">
        <v>22</v>
      </c>
      <c r="D10" s="329" t="e">
        <f>#REF!</f>
        <v>#REF!</v>
      </c>
      <c r="E10" s="361" t="e">
        <f>#REF!</f>
        <v>#REF!</v>
      </c>
      <c r="F10" s="363" t="e">
        <f>#REF!</f>
        <v>#REF!</v>
      </c>
      <c r="G10" s="324" t="e">
        <f t="shared" si="2"/>
        <v>#REF!</v>
      </c>
      <c r="H10" s="365" t="e">
        <f t="shared" si="1"/>
        <v>#REF!</v>
      </c>
      <c r="I10" s="367" t="e">
        <f t="shared" si="0"/>
        <v>#REF!</v>
      </c>
      <c r="J10" s="358"/>
      <c r="K10" t="e">
        <f>F10+F12</f>
        <v>#REF!</v>
      </c>
    </row>
    <row r="11" spans="1:13" ht="24.9" customHeight="1">
      <c r="A11" s="360"/>
      <c r="B11" s="360"/>
      <c r="C11" s="320" t="s">
        <v>23</v>
      </c>
      <c r="D11" s="329" t="e">
        <f>#REF!</f>
        <v>#REF!</v>
      </c>
      <c r="E11" s="362"/>
      <c r="F11" s="364"/>
      <c r="G11" s="324" t="e">
        <f t="shared" si="2"/>
        <v>#REF!</v>
      </c>
      <c r="H11" s="366"/>
      <c r="I11" s="368"/>
      <c r="J11" s="359"/>
      <c r="K11">
        <f>[59]汇总表!$F$9+[59]汇总表!$F$11</f>
        <v>474628431.40530002</v>
      </c>
      <c r="L11" t="e">
        <f>K10-K11</f>
        <v>#REF!</v>
      </c>
    </row>
    <row r="12" spans="1:13" ht="24.9" customHeight="1">
      <c r="A12" s="359"/>
      <c r="B12" s="359"/>
      <c r="C12" s="320" t="s">
        <v>24</v>
      </c>
      <c r="D12" s="329" t="e">
        <f>#REF!</f>
        <v>#REF!</v>
      </c>
      <c r="E12" s="330" t="e">
        <f>#REF!</f>
        <v>#REF!</v>
      </c>
      <c r="F12" s="331" t="e">
        <f>#REF!</f>
        <v>#REF!</v>
      </c>
      <c r="G12" s="324" t="e">
        <f t="shared" si="2"/>
        <v>#REF!</v>
      </c>
      <c r="H12" s="324" t="e">
        <f t="shared" ref="H12:H17" si="3">E12/$E$18</f>
        <v>#REF!</v>
      </c>
      <c r="I12" s="336" t="e">
        <f t="shared" ref="I12:I17" si="4">F12/$F$18</f>
        <v>#REF!</v>
      </c>
      <c r="J12" s="320"/>
    </row>
    <row r="13" spans="1:13" ht="24.9" customHeight="1">
      <c r="A13" s="325" t="s">
        <v>25</v>
      </c>
      <c r="B13" s="355" t="s">
        <v>26</v>
      </c>
      <c r="C13" s="356"/>
      <c r="D13" s="326" t="e">
        <f>SUM(D14:D15)</f>
        <v>#REF!</v>
      </c>
      <c r="E13" s="326" t="e">
        <f>SUM(E14:E15)</f>
        <v>#REF!</v>
      </c>
      <c r="F13" s="327" t="e">
        <f>SUM(F14:F15)</f>
        <v>#REF!</v>
      </c>
      <c r="G13" s="328" t="e">
        <f t="shared" si="2"/>
        <v>#REF!</v>
      </c>
      <c r="H13" s="328" t="e">
        <f t="shared" si="3"/>
        <v>#REF!</v>
      </c>
      <c r="I13" s="337" t="e">
        <f t="shared" si="4"/>
        <v>#REF!</v>
      </c>
      <c r="J13" s="325"/>
    </row>
    <row r="14" spans="1:13" ht="24.9" customHeight="1">
      <c r="A14" s="320">
        <v>1</v>
      </c>
      <c r="B14" s="353" t="s">
        <v>27</v>
      </c>
      <c r="C14" s="354"/>
      <c r="D14" s="329" t="e">
        <f>'成测表2-6'!#REF!</f>
        <v>#REF!</v>
      </c>
      <c r="E14" s="330" t="e">
        <f>'成测表2-6'!#REF!</f>
        <v>#REF!</v>
      </c>
      <c r="F14" s="331">
        <f>'成测表2-6'!F20</f>
        <v>0</v>
      </c>
      <c r="G14" s="324" t="e">
        <f t="shared" si="2"/>
        <v>#REF!</v>
      </c>
      <c r="H14" s="324" t="e">
        <f t="shared" si="3"/>
        <v>#REF!</v>
      </c>
      <c r="I14" s="336" t="e">
        <f t="shared" si="4"/>
        <v>#REF!</v>
      </c>
      <c r="J14" s="341"/>
    </row>
    <row r="15" spans="1:13" ht="24.9" customHeight="1">
      <c r="A15" s="320">
        <v>2</v>
      </c>
      <c r="B15" s="353" t="s">
        <v>28</v>
      </c>
      <c r="C15" s="354"/>
      <c r="D15" s="329" t="e">
        <f>#REF!</f>
        <v>#REF!</v>
      </c>
      <c r="E15" s="330" t="e">
        <f>#REF!</f>
        <v>#REF!</v>
      </c>
      <c r="F15" s="331" t="e">
        <f>#REF!</f>
        <v>#REF!</v>
      </c>
      <c r="G15" s="324" t="e">
        <f t="shared" si="2"/>
        <v>#REF!</v>
      </c>
      <c r="H15" s="324" t="e">
        <f t="shared" si="3"/>
        <v>#REF!</v>
      </c>
      <c r="I15" s="336" t="e">
        <f t="shared" si="4"/>
        <v>#REF!</v>
      </c>
      <c r="J15" s="341"/>
    </row>
    <row r="16" spans="1:13" ht="24.9" customHeight="1">
      <c r="A16" s="325" t="s">
        <v>29</v>
      </c>
      <c r="B16" s="355" t="s">
        <v>30</v>
      </c>
      <c r="C16" s="356"/>
      <c r="D16" s="326">
        <f>间接费!B42</f>
        <v>49979344</v>
      </c>
      <c r="E16" s="332">
        <f>间接费!C42</f>
        <v>49389920</v>
      </c>
      <c r="F16" s="327" t="e">
        <f>成测表3间接费!#REF!</f>
        <v>#REF!</v>
      </c>
      <c r="G16" s="328" t="e">
        <f t="shared" si="2"/>
        <v>#REF!</v>
      </c>
      <c r="H16" s="328" t="e">
        <f t="shared" si="3"/>
        <v>#REF!</v>
      </c>
      <c r="I16" s="337" t="e">
        <f t="shared" si="4"/>
        <v>#REF!</v>
      </c>
      <c r="J16" s="325"/>
      <c r="K16" s="316" t="e">
        <f>F16/F18</f>
        <v>#REF!</v>
      </c>
    </row>
    <row r="17" spans="1:11" ht="36">
      <c r="A17" s="325" t="s">
        <v>31</v>
      </c>
      <c r="B17" s="355" t="s">
        <v>32</v>
      </c>
      <c r="C17" s="356"/>
      <c r="D17" s="326">
        <f>'税 费（项目部）'!D25</f>
        <v>-1754340</v>
      </c>
      <c r="E17" s="332">
        <f>'税负测算(初次审核)'!J24*1.1</f>
        <v>19849966</v>
      </c>
      <c r="F17" s="327" t="e">
        <f>#REF!*1.1</f>
        <v>#REF!</v>
      </c>
      <c r="G17" s="328" t="e">
        <f t="shared" si="2"/>
        <v>#REF!</v>
      </c>
      <c r="H17" s="328" t="e">
        <f t="shared" si="3"/>
        <v>#REF!</v>
      </c>
      <c r="I17" s="337" t="e">
        <f t="shared" si="4"/>
        <v>#REF!</v>
      </c>
      <c r="J17" s="325" t="s">
        <v>33</v>
      </c>
      <c r="K17" t="e">
        <f>F18*0.04</f>
        <v>#REF!</v>
      </c>
    </row>
    <row r="18" spans="1:11" ht="24.9" customHeight="1">
      <c r="A18" s="355" t="s">
        <v>34</v>
      </c>
      <c r="B18" s="357"/>
      <c r="C18" s="356"/>
      <c r="D18" s="326" t="e">
        <f>SUM(D5+D16+D17)</f>
        <v>#REF!</v>
      </c>
      <c r="E18" s="332" t="e">
        <f>E5+E16+E17</f>
        <v>#REF!</v>
      </c>
      <c r="F18" s="327" t="e">
        <f>F5+F16+F17</f>
        <v>#REF!</v>
      </c>
      <c r="G18" s="328"/>
      <c r="H18" s="328"/>
      <c r="I18" s="337"/>
      <c r="J18" s="342"/>
    </row>
    <row r="19" spans="1:11" ht="24.9" customHeight="1">
      <c r="A19" s="355" t="s">
        <v>35</v>
      </c>
      <c r="B19" s="357"/>
      <c r="C19" s="356"/>
      <c r="D19" s="326">
        <v>1109163665</v>
      </c>
      <c r="E19" s="332">
        <v>1109163665</v>
      </c>
      <c r="F19" s="327">
        <v>1109163665</v>
      </c>
      <c r="G19" s="328"/>
      <c r="H19" s="328"/>
      <c r="I19" s="337"/>
      <c r="J19" s="342" t="s">
        <v>36</v>
      </c>
      <c r="K19">
        <v>1478884886.5246501</v>
      </c>
    </row>
    <row r="20" spans="1:11" ht="24.9" customHeight="1">
      <c r="A20" s="355" t="s">
        <v>37</v>
      </c>
      <c r="B20" s="357"/>
      <c r="C20" s="356"/>
      <c r="D20" s="326" t="e">
        <f>D19-D18</f>
        <v>#REF!</v>
      </c>
      <c r="E20" s="326" t="e">
        <f>E19-E18</f>
        <v>#REF!</v>
      </c>
      <c r="F20" s="327" t="e">
        <f>F19-F18</f>
        <v>#REF!</v>
      </c>
      <c r="G20" s="328"/>
      <c r="H20" s="328"/>
      <c r="I20" s="337"/>
      <c r="J20" s="342"/>
    </row>
    <row r="21" spans="1:11" ht="24.9" customHeight="1">
      <c r="A21" s="355" t="s">
        <v>38</v>
      </c>
      <c r="B21" s="357"/>
      <c r="C21" s="356"/>
      <c r="D21" s="328" t="e">
        <f>D20/D19</f>
        <v>#REF!</v>
      </c>
      <c r="E21" s="328" t="e">
        <f>E20/E19</f>
        <v>#REF!</v>
      </c>
      <c r="F21" s="333" t="e">
        <f>F20/F19</f>
        <v>#REF!</v>
      </c>
      <c r="G21" s="328"/>
      <c r="H21" s="328"/>
      <c r="I21" s="337"/>
      <c r="J21" s="342"/>
    </row>
    <row r="23" spans="1:11">
      <c r="F23" t="e">
        <f>F18-E18</f>
        <v>#REF!</v>
      </c>
    </row>
    <row r="24" spans="1:11" ht="14.4">
      <c r="D24" s="334"/>
      <c r="E24" s="334"/>
      <c r="F24" s="334"/>
    </row>
  </sheetData>
  <mergeCells count="23">
    <mergeCell ref="E10:E11"/>
    <mergeCell ref="F10:F11"/>
    <mergeCell ref="H10:H11"/>
    <mergeCell ref="I10:I11"/>
    <mergeCell ref="J10:J11"/>
    <mergeCell ref="A18:C18"/>
    <mergeCell ref="A19:C19"/>
    <mergeCell ref="A20:C20"/>
    <mergeCell ref="A21:C21"/>
    <mergeCell ref="A7:A8"/>
    <mergeCell ref="A10:A12"/>
    <mergeCell ref="B7:B8"/>
    <mergeCell ref="B10:B12"/>
    <mergeCell ref="B13:C13"/>
    <mergeCell ref="B14:C14"/>
    <mergeCell ref="B15:C15"/>
    <mergeCell ref="B16:C16"/>
    <mergeCell ref="B17:C17"/>
    <mergeCell ref="A1:J1"/>
    <mergeCell ref="B4:C4"/>
    <mergeCell ref="B5:C5"/>
    <mergeCell ref="B6:C6"/>
    <mergeCell ref="B9:C9"/>
  </mergeCells>
  <phoneticPr fontId="98" type="noConversion"/>
  <printOptions horizontalCentered="1"/>
  <pageMargins left="0.70763888888888904" right="0.70763888888888904" top="0.59027777777777801" bottom="0.74791666666666701" header="0.31388888888888899" footer="0.31388888888888899"/>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82"/>
  <sheetViews>
    <sheetView zoomScale="40" zoomScaleNormal="40" workbookViewId="0">
      <pane ySplit="5" topLeftCell="A6" activePane="bottomLeft" state="frozen"/>
      <selection pane="bottomLeft" activeCell="I9" sqref="I9"/>
    </sheetView>
  </sheetViews>
  <sheetFormatPr defaultColWidth="9.109375" defaultRowHeight="12"/>
  <cols>
    <col min="1" max="1" width="18.77734375" style="498" customWidth="1"/>
    <col min="2" max="2" width="27" style="498" customWidth="1"/>
    <col min="3" max="3" width="6" style="566" customWidth="1"/>
    <col min="4" max="4" width="9.109375" style="577" customWidth="1"/>
    <col min="5" max="5" width="9.6640625" style="498" hidden="1" customWidth="1"/>
    <col min="6" max="6" width="14.5546875" style="498" hidden="1" customWidth="1"/>
    <col min="7" max="7" width="9.88671875" style="498" customWidth="1"/>
    <col min="8" max="8" width="15.77734375" style="498" customWidth="1"/>
    <col min="9" max="9" width="11.77734375" style="498" customWidth="1"/>
    <col min="10" max="10" width="15.77734375" style="498" customWidth="1"/>
    <col min="11" max="11" width="23.6640625" style="565" customWidth="1"/>
    <col min="12" max="12" width="64.33203125" style="565" customWidth="1"/>
    <col min="13" max="13" width="19.77734375" style="566" customWidth="1"/>
    <col min="14" max="15" width="11.33203125" style="498" customWidth="1"/>
    <col min="16" max="16" width="25" style="498" customWidth="1"/>
    <col min="17" max="16384" width="9.109375" style="498"/>
  </cols>
  <sheetData>
    <row r="1" spans="1:13" s="495" customFormat="1" ht="55.8" customHeight="1">
      <c r="A1" s="499" t="s">
        <v>1527</v>
      </c>
      <c r="B1" s="499"/>
      <c r="C1" s="499"/>
      <c r="D1" s="499"/>
      <c r="E1" s="499"/>
      <c r="F1" s="499"/>
      <c r="G1" s="499"/>
      <c r="H1" s="499"/>
      <c r="I1" s="549"/>
      <c r="J1" s="499"/>
      <c r="K1" s="499"/>
      <c r="L1" s="499"/>
      <c r="M1" s="499"/>
    </row>
    <row r="2" spans="1:13" ht="18.75" customHeight="1">
      <c r="A2" s="550" t="s">
        <v>300</v>
      </c>
      <c r="B2" s="550"/>
      <c r="C2" s="550"/>
      <c r="D2" s="550"/>
      <c r="E2" s="550"/>
      <c r="F2" s="550"/>
      <c r="G2" s="550"/>
      <c r="H2" s="550"/>
      <c r="I2" s="587"/>
      <c r="J2" s="588"/>
      <c r="K2" s="589"/>
      <c r="L2" s="589"/>
      <c r="M2" s="590"/>
    </row>
    <row r="3" spans="1:13" ht="18.75" customHeight="1">
      <c r="A3" s="591" t="s">
        <v>55</v>
      </c>
      <c r="B3" s="591"/>
      <c r="C3" s="592"/>
      <c r="D3" s="593"/>
      <c r="E3" s="591"/>
      <c r="F3" s="594"/>
      <c r="G3" s="594"/>
      <c r="H3" s="594"/>
      <c r="I3" s="595"/>
      <c r="J3" s="594"/>
      <c r="K3" s="591"/>
      <c r="L3" s="591"/>
      <c r="M3" s="503" t="s">
        <v>39</v>
      </c>
    </row>
    <row r="4" spans="1:13" ht="20.100000000000001" customHeight="1">
      <c r="A4" s="378" t="s">
        <v>56</v>
      </c>
      <c r="B4" s="380" t="s">
        <v>57</v>
      </c>
      <c r="C4" s="380" t="s">
        <v>58</v>
      </c>
      <c r="D4" s="557" t="s">
        <v>59</v>
      </c>
      <c r="E4" s="558" t="s">
        <v>60</v>
      </c>
      <c r="F4" s="380" t="s">
        <v>61</v>
      </c>
      <c r="G4" s="558" t="s">
        <v>1528</v>
      </c>
      <c r="H4" s="371" t="s">
        <v>1529</v>
      </c>
      <c r="I4" s="375" t="s">
        <v>1530</v>
      </c>
      <c r="J4" s="377" t="s">
        <v>1531</v>
      </c>
      <c r="K4" s="377" t="s">
        <v>62</v>
      </c>
      <c r="L4" s="377" t="s">
        <v>63</v>
      </c>
      <c r="M4" s="600" t="s">
        <v>12</v>
      </c>
    </row>
    <row r="5" spans="1:13" ht="20.100000000000001" customHeight="1">
      <c r="A5" s="379"/>
      <c r="B5" s="381"/>
      <c r="C5" s="381"/>
      <c r="D5" s="560"/>
      <c r="E5" s="561"/>
      <c r="F5" s="381"/>
      <c r="G5" s="561"/>
      <c r="H5" s="372"/>
      <c r="I5" s="376"/>
      <c r="J5" s="376"/>
      <c r="K5" s="376"/>
      <c r="L5" s="376"/>
      <c r="M5" s="601"/>
    </row>
    <row r="6" spans="1:13" s="568" customFormat="1">
      <c r="A6" s="541">
        <v>100</v>
      </c>
      <c r="B6" s="542" t="s">
        <v>64</v>
      </c>
      <c r="C6" s="288"/>
      <c r="D6" s="543"/>
      <c r="E6" s="582"/>
      <c r="F6" s="288"/>
      <c r="G6" s="582"/>
      <c r="H6" s="288"/>
      <c r="I6" s="293"/>
      <c r="J6" s="293"/>
      <c r="K6" s="294"/>
      <c r="L6" s="294"/>
      <c r="M6" s="579"/>
    </row>
    <row r="7" spans="1:13" s="568" customFormat="1">
      <c r="A7" s="536">
        <v>102</v>
      </c>
      <c r="B7" s="537" t="s">
        <v>66</v>
      </c>
      <c r="C7" s="538"/>
      <c r="D7" s="539"/>
      <c r="E7" s="545"/>
      <c r="F7" s="288"/>
      <c r="G7" s="582"/>
      <c r="H7" s="288"/>
      <c r="I7" s="293"/>
      <c r="J7" s="293"/>
      <c r="K7" s="294"/>
      <c r="L7" s="294"/>
      <c r="M7" s="579"/>
    </row>
    <row r="8" spans="1:13" s="568" customFormat="1" ht="64.95" customHeight="1">
      <c r="A8" s="536" t="s">
        <v>67</v>
      </c>
      <c r="B8" s="537" t="s">
        <v>68</v>
      </c>
      <c r="C8" s="538" t="s">
        <v>65</v>
      </c>
      <c r="D8" s="539">
        <v>1</v>
      </c>
      <c r="E8" s="545">
        <v>3202.61</v>
      </c>
      <c r="F8" s="290">
        <f>D8*E8</f>
        <v>3203</v>
      </c>
      <c r="G8" s="596">
        <v>1384</v>
      </c>
      <c r="H8" s="290">
        <f t="shared" ref="H8:H9" si="0">G8*D8</f>
        <v>1384</v>
      </c>
      <c r="I8" s="596">
        <v>1384</v>
      </c>
      <c r="J8" s="300">
        <f>D8*I8</f>
        <v>1384</v>
      </c>
      <c r="K8" s="296" t="s">
        <v>69</v>
      </c>
      <c r="L8" s="297" t="s">
        <v>70</v>
      </c>
      <c r="M8" s="578"/>
    </row>
    <row r="9" spans="1:13" s="568" customFormat="1" ht="130.05000000000001" customHeight="1">
      <c r="A9" s="536" t="s">
        <v>71</v>
      </c>
      <c r="B9" s="537" t="s">
        <v>72</v>
      </c>
      <c r="C9" s="538" t="s">
        <v>65</v>
      </c>
      <c r="D9" s="539">
        <v>1</v>
      </c>
      <c r="E9" s="545">
        <v>18424</v>
      </c>
      <c r="F9" s="290">
        <f>D9*E9</f>
        <v>18424</v>
      </c>
      <c r="G9" s="596">
        <v>5807</v>
      </c>
      <c r="H9" s="290">
        <f t="shared" si="0"/>
        <v>5807</v>
      </c>
      <c r="I9" s="596">
        <v>5807</v>
      </c>
      <c r="J9" s="300">
        <f>D9*I9</f>
        <v>5807</v>
      </c>
      <c r="K9" s="296" t="s">
        <v>1536</v>
      </c>
      <c r="L9" s="297" t="s">
        <v>73</v>
      </c>
      <c r="M9" s="578"/>
    </row>
    <row r="10" spans="1:13" s="568" customFormat="1">
      <c r="A10" s="536" t="s">
        <v>74</v>
      </c>
      <c r="B10" s="537" t="s">
        <v>75</v>
      </c>
      <c r="C10" s="538"/>
      <c r="D10" s="539"/>
      <c r="E10" s="545"/>
      <c r="F10" s="288"/>
      <c r="G10" s="582"/>
      <c r="H10" s="288"/>
      <c r="I10" s="569"/>
      <c r="J10" s="293"/>
      <c r="K10" s="294"/>
      <c r="L10" s="294"/>
      <c r="M10" s="579"/>
    </row>
    <row r="11" spans="1:13" s="568" customFormat="1" ht="96">
      <c r="A11" s="536" t="s">
        <v>76</v>
      </c>
      <c r="B11" s="537" t="s">
        <v>77</v>
      </c>
      <c r="C11" s="538" t="s">
        <v>78</v>
      </c>
      <c r="D11" s="539">
        <v>60</v>
      </c>
      <c r="E11" s="545">
        <v>709.48</v>
      </c>
      <c r="F11" s="290">
        <f>D11*E11</f>
        <v>42569</v>
      </c>
      <c r="G11" s="547">
        <v>530</v>
      </c>
      <c r="H11" s="290">
        <f>G11*D11</f>
        <v>31800</v>
      </c>
      <c r="I11" s="523"/>
      <c r="J11" s="300">
        <f>D11*I11</f>
        <v>0</v>
      </c>
      <c r="K11" s="297" t="s">
        <v>79</v>
      </c>
      <c r="L11" s="296" t="s">
        <v>1511</v>
      </c>
      <c r="M11" s="579"/>
    </row>
    <row r="12" spans="1:13" s="568" customFormat="1">
      <c r="A12" s="536">
        <v>104</v>
      </c>
      <c r="B12" s="537" t="s">
        <v>81</v>
      </c>
      <c r="C12" s="538"/>
      <c r="D12" s="539"/>
      <c r="E12" s="545"/>
      <c r="F12" s="288"/>
      <c r="G12" s="582"/>
      <c r="H12" s="288"/>
      <c r="I12" s="569"/>
      <c r="J12" s="293"/>
      <c r="K12" s="297"/>
      <c r="L12" s="294"/>
      <c r="M12" s="579"/>
    </row>
    <row r="13" spans="1:13" s="568" customFormat="1" ht="24">
      <c r="A13" s="536" t="s">
        <v>82</v>
      </c>
      <c r="B13" s="537" t="s">
        <v>83</v>
      </c>
      <c r="C13" s="538" t="s">
        <v>65</v>
      </c>
      <c r="D13" s="539">
        <v>1</v>
      </c>
      <c r="E13" s="545">
        <v>9830</v>
      </c>
      <c r="F13" s="290">
        <f>D13*E13</f>
        <v>9830</v>
      </c>
      <c r="G13" s="547">
        <v>4915</v>
      </c>
      <c r="H13" s="290">
        <f>G13*D13</f>
        <v>4915</v>
      </c>
      <c r="I13" s="523"/>
      <c r="J13" s="300">
        <f>D13*I13</f>
        <v>0</v>
      </c>
      <c r="K13" s="296" t="s">
        <v>69</v>
      </c>
      <c r="L13" s="296" t="s">
        <v>84</v>
      </c>
      <c r="M13" s="579"/>
    </row>
    <row r="14" spans="1:13" s="568" customFormat="1">
      <c r="A14" s="536">
        <v>109</v>
      </c>
      <c r="B14" s="537" t="s">
        <v>85</v>
      </c>
      <c r="C14" s="538"/>
      <c r="D14" s="539"/>
      <c r="E14" s="545"/>
      <c r="F14" s="288"/>
      <c r="G14" s="582"/>
      <c r="H14" s="288"/>
      <c r="I14" s="569"/>
      <c r="J14" s="293"/>
      <c r="K14" s="296"/>
      <c r="L14" s="294"/>
      <c r="M14" s="579"/>
    </row>
    <row r="15" spans="1:13" s="568" customFormat="1" ht="60">
      <c r="A15" s="536" t="s">
        <v>86</v>
      </c>
      <c r="B15" s="537" t="s">
        <v>85</v>
      </c>
      <c r="C15" s="538" t="s">
        <v>65</v>
      </c>
      <c r="D15" s="539">
        <v>1</v>
      </c>
      <c r="E15" s="545">
        <v>6404.25</v>
      </c>
      <c r="F15" s="290">
        <f>D15*E15</f>
        <v>6404</v>
      </c>
      <c r="G15" s="547">
        <v>3052</v>
      </c>
      <c r="H15" s="290">
        <f>G15*D15</f>
        <v>3052</v>
      </c>
      <c r="I15" s="523"/>
      <c r="J15" s="300">
        <f>D15*I15</f>
        <v>0</v>
      </c>
      <c r="K15" s="296" t="s">
        <v>69</v>
      </c>
      <c r="L15" s="296" t="s">
        <v>1540</v>
      </c>
      <c r="M15" s="579"/>
    </row>
    <row r="16" spans="1:13" s="568" customFormat="1">
      <c r="A16" s="541">
        <v>300</v>
      </c>
      <c r="B16" s="542" t="s">
        <v>87</v>
      </c>
      <c r="C16" s="538"/>
      <c r="D16" s="543"/>
      <c r="E16" s="582"/>
      <c r="F16" s="288"/>
      <c r="G16" s="582"/>
      <c r="H16" s="288"/>
      <c r="I16" s="567"/>
      <c r="J16" s="293"/>
      <c r="K16" s="294"/>
      <c r="L16" s="294"/>
      <c r="M16" s="579"/>
    </row>
    <row r="17" spans="1:13" s="568" customFormat="1">
      <c r="A17" s="536">
        <v>303</v>
      </c>
      <c r="B17" s="537" t="s">
        <v>88</v>
      </c>
      <c r="C17" s="538"/>
      <c r="D17" s="545"/>
      <c r="E17" s="545"/>
      <c r="F17" s="288"/>
      <c r="G17" s="582"/>
      <c r="H17" s="288"/>
      <c r="I17" s="567"/>
      <c r="J17" s="293"/>
      <c r="K17" s="294"/>
      <c r="L17" s="294"/>
      <c r="M17" s="579"/>
    </row>
    <row r="18" spans="1:13" s="568" customFormat="1">
      <c r="A18" s="536" t="s">
        <v>105</v>
      </c>
      <c r="B18" s="537" t="s">
        <v>106</v>
      </c>
      <c r="C18" s="538"/>
      <c r="D18" s="539"/>
      <c r="E18" s="545"/>
      <c r="F18" s="288"/>
      <c r="G18" s="582"/>
      <c r="H18" s="288"/>
      <c r="I18" s="567"/>
      <c r="J18" s="293"/>
      <c r="K18" s="294"/>
      <c r="L18" s="294"/>
      <c r="M18" s="579"/>
    </row>
    <row r="19" spans="1:13" s="568" customFormat="1">
      <c r="A19" s="536" t="s">
        <v>107</v>
      </c>
      <c r="B19" s="537" t="s">
        <v>108</v>
      </c>
      <c r="C19" s="538"/>
      <c r="D19" s="539"/>
      <c r="E19" s="545"/>
      <c r="F19" s="288"/>
      <c r="G19" s="582"/>
      <c r="H19" s="288"/>
      <c r="I19" s="567"/>
      <c r="J19" s="293"/>
      <c r="K19" s="294"/>
      <c r="L19" s="294"/>
      <c r="M19" s="579"/>
    </row>
    <row r="20" spans="1:13" s="568" customFormat="1">
      <c r="A20" s="536" t="s">
        <v>109</v>
      </c>
      <c r="B20" s="537" t="s">
        <v>110</v>
      </c>
      <c r="C20" s="538"/>
      <c r="D20" s="539"/>
      <c r="E20" s="545"/>
      <c r="F20" s="290"/>
      <c r="G20" s="581"/>
      <c r="H20" s="290"/>
      <c r="I20" s="574"/>
      <c r="J20" s="300"/>
      <c r="K20" s="297"/>
      <c r="L20" s="297"/>
      <c r="M20" s="579"/>
    </row>
    <row r="21" spans="1:13" s="568" customFormat="1" ht="118.05" customHeight="1">
      <c r="A21" s="536" t="s">
        <v>111</v>
      </c>
      <c r="B21" s="537" t="s">
        <v>112</v>
      </c>
      <c r="C21" s="538" t="s">
        <v>113</v>
      </c>
      <c r="D21" s="539">
        <v>133.333</v>
      </c>
      <c r="E21" s="545">
        <v>78.17</v>
      </c>
      <c r="F21" s="290">
        <f>D21*E21</f>
        <v>10423</v>
      </c>
      <c r="G21" s="581">
        <v>57.2</v>
      </c>
      <c r="H21" s="290">
        <f>G21*D21</f>
        <v>7627</v>
      </c>
      <c r="I21" s="573"/>
      <c r="J21" s="300">
        <f>D21*I21</f>
        <v>0</v>
      </c>
      <c r="K21" s="297" t="s">
        <v>114</v>
      </c>
      <c r="L21" s="297" t="s">
        <v>115</v>
      </c>
      <c r="M21" s="534"/>
    </row>
    <row r="22" spans="1:13" s="568" customFormat="1">
      <c r="A22" s="536" t="s">
        <v>116</v>
      </c>
      <c r="B22" s="537" t="s">
        <v>117</v>
      </c>
      <c r="C22" s="538"/>
      <c r="D22" s="539"/>
      <c r="E22" s="545"/>
      <c r="F22" s="290"/>
      <c r="G22" s="581"/>
      <c r="H22" s="290"/>
      <c r="I22" s="574"/>
      <c r="J22" s="300"/>
      <c r="K22" s="297"/>
      <c r="L22" s="297"/>
      <c r="M22" s="579"/>
    </row>
    <row r="23" spans="1:13" s="568" customFormat="1" ht="24">
      <c r="A23" s="536" t="s">
        <v>118</v>
      </c>
      <c r="B23" s="537" t="s">
        <v>119</v>
      </c>
      <c r="C23" s="538"/>
      <c r="D23" s="539"/>
      <c r="E23" s="545"/>
      <c r="F23" s="290"/>
      <c r="G23" s="581"/>
      <c r="H23" s="290"/>
      <c r="I23" s="574"/>
      <c r="J23" s="300"/>
      <c r="K23" s="297"/>
      <c r="L23" s="297"/>
      <c r="M23" s="579"/>
    </row>
    <row r="24" spans="1:13" s="568" customFormat="1" ht="118.05" customHeight="1">
      <c r="A24" s="536" t="s">
        <v>120</v>
      </c>
      <c r="B24" s="537" t="s">
        <v>121</v>
      </c>
      <c r="C24" s="538" t="s">
        <v>113</v>
      </c>
      <c r="D24" s="539">
        <v>125</v>
      </c>
      <c r="E24" s="545">
        <v>65.13</v>
      </c>
      <c r="F24" s="290">
        <f>D24*E24</f>
        <v>8141</v>
      </c>
      <c r="G24" s="581">
        <v>49.52</v>
      </c>
      <c r="H24" s="290">
        <f t="shared" ref="H24" si="1">G24*D24</f>
        <v>6190</v>
      </c>
      <c r="I24" s="573"/>
      <c r="J24" s="300">
        <f>D24*I24</f>
        <v>0</v>
      </c>
      <c r="K24" s="297" t="s">
        <v>114</v>
      </c>
      <c r="L24" s="297" t="s">
        <v>115</v>
      </c>
      <c r="M24" s="579"/>
    </row>
    <row r="25" spans="1:13" s="568" customFormat="1">
      <c r="A25" s="536" t="s">
        <v>122</v>
      </c>
      <c r="B25" s="537" t="s">
        <v>123</v>
      </c>
      <c r="C25" s="538"/>
      <c r="D25" s="539"/>
      <c r="E25" s="545"/>
      <c r="F25" s="290"/>
      <c r="G25" s="581"/>
      <c r="H25" s="290"/>
      <c r="I25" s="574"/>
      <c r="J25" s="300"/>
      <c r="K25" s="297"/>
      <c r="L25" s="297"/>
      <c r="M25" s="579"/>
    </row>
    <row r="26" spans="1:13" s="568" customFormat="1" ht="118.05" customHeight="1">
      <c r="A26" s="536" t="s">
        <v>124</v>
      </c>
      <c r="B26" s="537" t="s">
        <v>125</v>
      </c>
      <c r="C26" s="538" t="s">
        <v>113</v>
      </c>
      <c r="D26" s="539">
        <v>125</v>
      </c>
      <c r="E26" s="545">
        <v>1.63</v>
      </c>
      <c r="F26" s="290">
        <f>D26*E26</f>
        <v>204</v>
      </c>
      <c r="G26" s="581">
        <v>1.1000000000000001</v>
      </c>
      <c r="H26" s="290">
        <f>G26*D26</f>
        <v>138</v>
      </c>
      <c r="I26" s="573"/>
      <c r="J26" s="300">
        <f>D26*I26</f>
        <v>0</v>
      </c>
      <c r="K26" s="297" t="s">
        <v>126</v>
      </c>
      <c r="L26" s="297" t="s">
        <v>127</v>
      </c>
      <c r="M26" s="579"/>
    </row>
    <row r="27" spans="1:13" s="568" customFormat="1">
      <c r="A27" s="536" t="s">
        <v>128</v>
      </c>
      <c r="B27" s="537" t="s">
        <v>129</v>
      </c>
      <c r="C27" s="538"/>
      <c r="D27" s="539"/>
      <c r="E27" s="545"/>
      <c r="F27" s="288"/>
      <c r="G27" s="582"/>
      <c r="H27" s="288"/>
      <c r="I27" s="567"/>
      <c r="J27" s="293"/>
      <c r="K27" s="294"/>
      <c r="L27" s="294"/>
      <c r="M27" s="579"/>
    </row>
    <row r="28" spans="1:13" s="568" customFormat="1" ht="118.05" customHeight="1">
      <c r="A28" s="536" t="s">
        <v>130</v>
      </c>
      <c r="B28" s="537" t="s">
        <v>131</v>
      </c>
      <c r="C28" s="538" t="s">
        <v>113</v>
      </c>
      <c r="D28" s="539">
        <v>128</v>
      </c>
      <c r="E28" s="545">
        <v>9.23</v>
      </c>
      <c r="F28" s="290">
        <f>D28*E28</f>
        <v>1181</v>
      </c>
      <c r="G28" s="581">
        <v>5.73</v>
      </c>
      <c r="H28" s="290">
        <f>G28*D28</f>
        <v>733</v>
      </c>
      <c r="I28" s="573"/>
      <c r="J28" s="300">
        <f>D28*I28</f>
        <v>0</v>
      </c>
      <c r="K28" s="297" t="s">
        <v>132</v>
      </c>
      <c r="L28" s="297" t="s">
        <v>133</v>
      </c>
      <c r="M28" s="579"/>
    </row>
    <row r="29" spans="1:13" s="568" customFormat="1">
      <c r="A29" s="541">
        <v>500</v>
      </c>
      <c r="B29" s="542" t="s">
        <v>24</v>
      </c>
      <c r="C29" s="538"/>
      <c r="D29" s="539"/>
      <c r="E29" s="545"/>
      <c r="F29" s="288"/>
      <c r="G29" s="581"/>
      <c r="H29" s="288"/>
      <c r="I29" s="567"/>
      <c r="J29" s="293"/>
      <c r="K29" s="294"/>
      <c r="L29" s="294"/>
      <c r="M29" s="579"/>
    </row>
    <row r="30" spans="1:13" s="568" customFormat="1">
      <c r="A30" s="536">
        <v>503</v>
      </c>
      <c r="B30" s="537" t="s">
        <v>134</v>
      </c>
      <c r="C30" s="538"/>
      <c r="D30" s="539"/>
      <c r="E30" s="545"/>
      <c r="F30" s="290"/>
      <c r="G30" s="581"/>
      <c r="H30" s="290"/>
      <c r="I30" s="574"/>
      <c r="J30" s="300"/>
      <c r="K30" s="297"/>
      <c r="L30" s="297"/>
      <c r="M30" s="534"/>
    </row>
    <row r="31" spans="1:13" s="568" customFormat="1">
      <c r="A31" s="536" t="s">
        <v>135</v>
      </c>
      <c r="B31" s="537" t="s">
        <v>136</v>
      </c>
      <c r="C31" s="538"/>
      <c r="D31" s="539"/>
      <c r="E31" s="545"/>
      <c r="F31" s="290"/>
      <c r="G31" s="581"/>
      <c r="H31" s="290"/>
      <c r="I31" s="574"/>
      <c r="J31" s="300"/>
      <c r="K31" s="297"/>
      <c r="L31" s="297"/>
      <c r="M31" s="579"/>
    </row>
    <row r="32" spans="1:13" s="568" customFormat="1">
      <c r="A32" s="536" t="s">
        <v>277</v>
      </c>
      <c r="B32" s="537" t="s">
        <v>282</v>
      </c>
      <c r="C32" s="538"/>
      <c r="D32" s="539"/>
      <c r="E32" s="545"/>
      <c r="F32" s="288"/>
      <c r="G32" s="582"/>
      <c r="H32" s="288"/>
      <c r="I32" s="567"/>
      <c r="J32" s="293"/>
      <c r="K32" s="294"/>
      <c r="L32" s="294"/>
      <c r="M32" s="579"/>
    </row>
    <row r="33" spans="1:13" s="568" customFormat="1" ht="94.05" customHeight="1">
      <c r="A33" s="536" t="s">
        <v>279</v>
      </c>
      <c r="B33" s="537" t="s">
        <v>301</v>
      </c>
      <c r="C33" s="538" t="s">
        <v>140</v>
      </c>
      <c r="D33" s="539">
        <v>788</v>
      </c>
      <c r="E33" s="545">
        <v>52.36</v>
      </c>
      <c r="F33" s="290">
        <f>D33*E33</f>
        <v>41260</v>
      </c>
      <c r="G33" s="547">
        <v>52</v>
      </c>
      <c r="H33" s="290">
        <f>G33*D33</f>
        <v>40976</v>
      </c>
      <c r="I33" s="573"/>
      <c r="J33" s="300">
        <f>D33*I33</f>
        <v>0</v>
      </c>
      <c r="K33" s="297" t="s">
        <v>141</v>
      </c>
      <c r="L33" s="297" t="s">
        <v>142</v>
      </c>
      <c r="M33" s="579"/>
    </row>
    <row r="34" spans="1:13" s="568" customFormat="1">
      <c r="A34" s="536" t="s">
        <v>281</v>
      </c>
      <c r="B34" s="537" t="s">
        <v>282</v>
      </c>
      <c r="C34" s="538"/>
      <c r="D34" s="539"/>
      <c r="E34" s="545"/>
      <c r="F34" s="290"/>
      <c r="G34" s="581"/>
      <c r="H34" s="290"/>
      <c r="I34" s="574"/>
      <c r="J34" s="300"/>
      <c r="K34" s="297"/>
      <c r="L34" s="297"/>
      <c r="M34" s="579"/>
    </row>
    <row r="35" spans="1:13" s="568" customFormat="1" ht="118.05" customHeight="1">
      <c r="A35" s="536" t="s">
        <v>283</v>
      </c>
      <c r="B35" s="537" t="s">
        <v>146</v>
      </c>
      <c r="C35" s="538" t="s">
        <v>95</v>
      </c>
      <c r="D35" s="539">
        <v>77</v>
      </c>
      <c r="E35" s="545">
        <v>673.01</v>
      </c>
      <c r="F35" s="290">
        <f>D35*E35</f>
        <v>51822</v>
      </c>
      <c r="G35" s="581">
        <v>463.5</v>
      </c>
      <c r="H35" s="290">
        <f>G35*D35</f>
        <v>35690</v>
      </c>
      <c r="I35" s="573"/>
      <c r="J35" s="300">
        <f>D35*I35</f>
        <v>0</v>
      </c>
      <c r="K35" s="297" t="s">
        <v>147</v>
      </c>
      <c r="L35" s="297" t="s">
        <v>148</v>
      </c>
      <c r="M35" s="579"/>
    </row>
    <row r="36" spans="1:13" s="568" customFormat="1">
      <c r="A36" s="536" t="s">
        <v>149</v>
      </c>
      <c r="B36" s="537" t="s">
        <v>150</v>
      </c>
      <c r="C36" s="538"/>
      <c r="D36" s="539"/>
      <c r="E36" s="545"/>
      <c r="F36" s="290"/>
      <c r="G36" s="581"/>
      <c r="H36" s="290"/>
      <c r="I36" s="574"/>
      <c r="J36" s="300"/>
      <c r="K36" s="297"/>
      <c r="L36" s="297"/>
      <c r="M36" s="534"/>
    </row>
    <row r="37" spans="1:13" s="568" customFormat="1">
      <c r="A37" s="536" t="s">
        <v>151</v>
      </c>
      <c r="B37" s="537" t="s">
        <v>152</v>
      </c>
      <c r="C37" s="538"/>
      <c r="D37" s="539"/>
      <c r="E37" s="545"/>
      <c r="F37" s="290"/>
      <c r="G37" s="581"/>
      <c r="H37" s="290"/>
      <c r="I37" s="574"/>
      <c r="J37" s="300"/>
      <c r="K37" s="297"/>
      <c r="L37" s="297"/>
      <c r="M37" s="579"/>
    </row>
    <row r="38" spans="1:13" s="568" customFormat="1" ht="82.05" customHeight="1">
      <c r="A38" s="536" t="s">
        <v>153</v>
      </c>
      <c r="B38" s="537" t="s">
        <v>154</v>
      </c>
      <c r="C38" s="538" t="s">
        <v>95</v>
      </c>
      <c r="D38" s="539">
        <v>272</v>
      </c>
      <c r="E38" s="545">
        <v>521.57000000000005</v>
      </c>
      <c r="F38" s="290">
        <f t="shared" ref="F38:F40" si="2">D38*E38</f>
        <v>141867</v>
      </c>
      <c r="G38" s="581">
        <v>239.74</v>
      </c>
      <c r="H38" s="290">
        <f t="shared" ref="H38:H40" si="3">G38*D38</f>
        <v>65209</v>
      </c>
      <c r="I38" s="573"/>
      <c r="J38" s="300">
        <f>D38*I38</f>
        <v>0</v>
      </c>
      <c r="K38" s="297" t="s">
        <v>155</v>
      </c>
      <c r="L38" s="297" t="s">
        <v>156</v>
      </c>
      <c r="M38" s="534"/>
    </row>
    <row r="39" spans="1:13" s="568" customFormat="1" ht="82.05" customHeight="1">
      <c r="A39" s="536" t="s">
        <v>157</v>
      </c>
      <c r="B39" s="537" t="s">
        <v>158</v>
      </c>
      <c r="C39" s="538" t="s">
        <v>95</v>
      </c>
      <c r="D39" s="539">
        <v>26</v>
      </c>
      <c r="E39" s="545">
        <v>150.85</v>
      </c>
      <c r="F39" s="290">
        <f t="shared" si="2"/>
        <v>3922</v>
      </c>
      <c r="G39" s="581">
        <v>73.8</v>
      </c>
      <c r="H39" s="290">
        <f t="shared" si="3"/>
        <v>1919</v>
      </c>
      <c r="I39" s="573"/>
      <c r="J39" s="300">
        <f>D39*I39</f>
        <v>0</v>
      </c>
      <c r="K39" s="297" t="s">
        <v>155</v>
      </c>
      <c r="L39" s="297" t="s">
        <v>156</v>
      </c>
      <c r="M39" s="579"/>
    </row>
    <row r="40" spans="1:13" s="568" customFormat="1" ht="90" customHeight="1">
      <c r="A40" s="536" t="s">
        <v>159</v>
      </c>
      <c r="B40" s="537" t="s">
        <v>102</v>
      </c>
      <c r="C40" s="538" t="s">
        <v>95</v>
      </c>
      <c r="D40" s="539">
        <v>298</v>
      </c>
      <c r="E40" s="545">
        <v>38</v>
      </c>
      <c r="F40" s="290">
        <f t="shared" si="2"/>
        <v>11324</v>
      </c>
      <c r="G40" s="581">
        <v>20</v>
      </c>
      <c r="H40" s="290">
        <f t="shared" si="3"/>
        <v>5960</v>
      </c>
      <c r="I40" s="573"/>
      <c r="J40" s="300">
        <f>D40*I40</f>
        <v>0</v>
      </c>
      <c r="K40" s="297" t="s">
        <v>302</v>
      </c>
      <c r="L40" s="297" t="s">
        <v>104</v>
      </c>
      <c r="M40" s="534"/>
    </row>
    <row r="41" spans="1:13" s="568" customFormat="1">
      <c r="A41" s="536" t="s">
        <v>160</v>
      </c>
      <c r="B41" s="537" t="s">
        <v>161</v>
      </c>
      <c r="C41" s="538"/>
      <c r="D41" s="539"/>
      <c r="E41" s="545"/>
      <c r="F41" s="290"/>
      <c r="G41" s="581"/>
      <c r="H41" s="290"/>
      <c r="I41" s="574"/>
      <c r="J41" s="300"/>
      <c r="K41" s="297"/>
      <c r="L41" s="297"/>
      <c r="M41" s="579"/>
    </row>
    <row r="42" spans="1:13" s="568" customFormat="1" ht="118.05" customHeight="1">
      <c r="A42" s="536" t="s">
        <v>162</v>
      </c>
      <c r="B42" s="537" t="s">
        <v>163</v>
      </c>
      <c r="C42" s="538" t="s">
        <v>164</v>
      </c>
      <c r="D42" s="539">
        <v>18588</v>
      </c>
      <c r="E42" s="545">
        <v>5.98</v>
      </c>
      <c r="F42" s="290">
        <f t="shared" ref="F42:F43" si="4">D42*E42</f>
        <v>111156</v>
      </c>
      <c r="G42" s="581">
        <v>0.94</v>
      </c>
      <c r="H42" s="290">
        <f t="shared" ref="H42:H43" si="5">G42*D42</f>
        <v>17473</v>
      </c>
      <c r="I42" s="573"/>
      <c r="J42" s="300">
        <f>D42*I42</f>
        <v>0</v>
      </c>
      <c r="K42" s="297" t="s">
        <v>165</v>
      </c>
      <c r="L42" s="297" t="s">
        <v>1512</v>
      </c>
      <c r="M42" s="534"/>
    </row>
    <row r="43" spans="1:13" s="568" customFormat="1" ht="118.05" customHeight="1">
      <c r="A43" s="536" t="s">
        <v>179</v>
      </c>
      <c r="B43" s="537" t="s">
        <v>180</v>
      </c>
      <c r="C43" s="538" t="s">
        <v>164</v>
      </c>
      <c r="D43" s="539">
        <v>4153</v>
      </c>
      <c r="E43" s="545">
        <v>3.67</v>
      </c>
      <c r="F43" s="290">
        <f t="shared" si="4"/>
        <v>15242</v>
      </c>
      <c r="G43" s="581">
        <v>2.2000000000000002</v>
      </c>
      <c r="H43" s="290">
        <f t="shared" si="5"/>
        <v>9137</v>
      </c>
      <c r="I43" s="573"/>
      <c r="J43" s="300">
        <f>D43*I43</f>
        <v>0</v>
      </c>
      <c r="K43" s="297" t="s">
        <v>181</v>
      </c>
      <c r="L43" s="297" t="s">
        <v>182</v>
      </c>
      <c r="M43" s="534"/>
    </row>
    <row r="44" spans="1:13" s="568" customFormat="1">
      <c r="A44" s="536" t="s">
        <v>187</v>
      </c>
      <c r="B44" s="537" t="s">
        <v>188</v>
      </c>
      <c r="C44" s="538"/>
      <c r="D44" s="539"/>
      <c r="E44" s="545"/>
      <c r="F44" s="290"/>
      <c r="G44" s="581"/>
      <c r="H44" s="290"/>
      <c r="I44" s="574"/>
      <c r="J44" s="300"/>
      <c r="K44" s="297"/>
      <c r="L44" s="297"/>
      <c r="M44" s="534"/>
    </row>
    <row r="45" spans="1:13" s="568" customFormat="1" ht="118.05" customHeight="1">
      <c r="A45" s="536" t="s">
        <v>189</v>
      </c>
      <c r="B45" s="537" t="s">
        <v>303</v>
      </c>
      <c r="C45" s="538" t="s">
        <v>95</v>
      </c>
      <c r="D45" s="539">
        <v>200</v>
      </c>
      <c r="E45" s="545">
        <v>937.7</v>
      </c>
      <c r="F45" s="290">
        <f>D45*E45</f>
        <v>187540</v>
      </c>
      <c r="G45" s="581">
        <v>238.21</v>
      </c>
      <c r="H45" s="290">
        <f>G45*D45</f>
        <v>47642</v>
      </c>
      <c r="I45" s="573"/>
      <c r="J45" s="300">
        <f>D45*I45</f>
        <v>0</v>
      </c>
      <c r="K45" s="297" t="s">
        <v>191</v>
      </c>
      <c r="L45" s="297" t="s">
        <v>1516</v>
      </c>
      <c r="M45" s="534"/>
    </row>
    <row r="46" spans="1:13" s="568" customFormat="1">
      <c r="A46" s="536" t="s">
        <v>192</v>
      </c>
      <c r="B46" s="537" t="s">
        <v>193</v>
      </c>
      <c r="C46" s="538"/>
      <c r="D46" s="539"/>
      <c r="E46" s="545"/>
      <c r="F46" s="290"/>
      <c r="G46" s="581"/>
      <c r="H46" s="290"/>
      <c r="I46" s="574"/>
      <c r="J46" s="300"/>
      <c r="K46" s="297"/>
      <c r="L46" s="297"/>
      <c r="M46" s="534"/>
    </row>
    <row r="47" spans="1:13" s="568" customFormat="1" ht="94.05" customHeight="1">
      <c r="A47" s="536" t="s">
        <v>194</v>
      </c>
      <c r="B47" s="537" t="s">
        <v>195</v>
      </c>
      <c r="C47" s="538" t="s">
        <v>140</v>
      </c>
      <c r="D47" s="539">
        <v>100</v>
      </c>
      <c r="E47" s="545">
        <v>136.88</v>
      </c>
      <c r="F47" s="290">
        <f>D47*E47</f>
        <v>13688</v>
      </c>
      <c r="G47" s="581">
        <v>68.400000000000006</v>
      </c>
      <c r="H47" s="290">
        <f>G47*D47</f>
        <v>6840</v>
      </c>
      <c r="I47" s="573"/>
      <c r="J47" s="300">
        <f>D47*I47</f>
        <v>0</v>
      </c>
      <c r="K47" s="297" t="s">
        <v>196</v>
      </c>
      <c r="L47" s="297" t="s">
        <v>1522</v>
      </c>
      <c r="M47" s="534"/>
    </row>
    <row r="48" spans="1:13" s="568" customFormat="1">
      <c r="A48" s="536" t="s">
        <v>197</v>
      </c>
      <c r="B48" s="537" t="s">
        <v>198</v>
      </c>
      <c r="C48" s="538"/>
      <c r="D48" s="539"/>
      <c r="E48" s="545"/>
      <c r="F48" s="290"/>
      <c r="G48" s="581"/>
      <c r="H48" s="290"/>
      <c r="I48" s="574"/>
      <c r="J48" s="300"/>
      <c r="K48" s="297"/>
      <c r="L48" s="297"/>
      <c r="M48" s="534"/>
    </row>
    <row r="49" spans="1:13" s="568" customFormat="1" ht="130.05000000000001" customHeight="1">
      <c r="A49" s="536" t="s">
        <v>304</v>
      </c>
      <c r="B49" s="537" t="s">
        <v>305</v>
      </c>
      <c r="C49" s="538" t="s">
        <v>95</v>
      </c>
      <c r="D49" s="539">
        <v>72</v>
      </c>
      <c r="E49" s="545">
        <v>703.55</v>
      </c>
      <c r="F49" s="290">
        <f>D49*E49</f>
        <v>50656</v>
      </c>
      <c r="G49" s="581">
        <v>51.03</v>
      </c>
      <c r="H49" s="290">
        <f>G49*D49</f>
        <v>3674</v>
      </c>
      <c r="I49" s="573"/>
      <c r="J49" s="300">
        <f>D49*I49</f>
        <v>0</v>
      </c>
      <c r="K49" s="297" t="s">
        <v>201</v>
      </c>
      <c r="L49" s="297" t="s">
        <v>1517</v>
      </c>
      <c r="M49" s="534"/>
    </row>
    <row r="50" spans="1:13" s="568" customFormat="1">
      <c r="A50" s="536" t="s">
        <v>202</v>
      </c>
      <c r="B50" s="537" t="s">
        <v>203</v>
      </c>
      <c r="C50" s="538"/>
      <c r="D50" s="539"/>
      <c r="E50" s="545"/>
      <c r="F50" s="290"/>
      <c r="G50" s="581"/>
      <c r="H50" s="290"/>
      <c r="I50" s="574"/>
      <c r="J50" s="300"/>
      <c r="K50" s="297"/>
      <c r="L50" s="297"/>
      <c r="M50" s="534"/>
    </row>
    <row r="51" spans="1:13" s="568" customFormat="1">
      <c r="A51" s="536" t="s">
        <v>204</v>
      </c>
      <c r="B51" s="537" t="s">
        <v>205</v>
      </c>
      <c r="C51" s="538" t="s">
        <v>113</v>
      </c>
      <c r="D51" s="539"/>
      <c r="E51" s="545"/>
      <c r="F51" s="290"/>
      <c r="G51" s="581"/>
      <c r="H51" s="290"/>
      <c r="I51" s="574"/>
      <c r="J51" s="300"/>
      <c r="K51" s="297"/>
      <c r="L51" s="297"/>
      <c r="M51" s="534"/>
    </row>
    <row r="52" spans="1:13" s="568" customFormat="1" ht="106.05" customHeight="1">
      <c r="A52" s="536" t="s">
        <v>206</v>
      </c>
      <c r="B52" s="537" t="s">
        <v>207</v>
      </c>
      <c r="C52" s="538" t="s">
        <v>113</v>
      </c>
      <c r="D52" s="539">
        <v>366</v>
      </c>
      <c r="E52" s="545">
        <v>15.92</v>
      </c>
      <c r="F52" s="290">
        <f t="shared" ref="F52:F54" si="6">D52*E52</f>
        <v>5827</v>
      </c>
      <c r="G52" s="581">
        <v>10.4</v>
      </c>
      <c r="H52" s="290">
        <f t="shared" ref="H52:H54" si="7">G52*D52</f>
        <v>3806</v>
      </c>
      <c r="I52" s="573"/>
      <c r="J52" s="300">
        <f>D52*I52</f>
        <v>0</v>
      </c>
      <c r="K52" s="297" t="s">
        <v>208</v>
      </c>
      <c r="L52" s="297" t="s">
        <v>209</v>
      </c>
      <c r="M52" s="534"/>
    </row>
    <row r="53" spans="1:13" s="568" customFormat="1" ht="106.05" customHeight="1">
      <c r="A53" s="536" t="s">
        <v>306</v>
      </c>
      <c r="B53" s="537" t="s">
        <v>307</v>
      </c>
      <c r="C53" s="538" t="s">
        <v>113</v>
      </c>
      <c r="D53" s="539">
        <v>18</v>
      </c>
      <c r="E53" s="545">
        <v>16.440000000000001</v>
      </c>
      <c r="F53" s="290">
        <f t="shared" si="6"/>
        <v>296</v>
      </c>
      <c r="G53" s="581">
        <v>10.4</v>
      </c>
      <c r="H53" s="290">
        <f t="shared" si="7"/>
        <v>187</v>
      </c>
      <c r="I53" s="573"/>
      <c r="J53" s="300">
        <f>D53*I53</f>
        <v>0</v>
      </c>
      <c r="K53" s="297" t="s">
        <v>208</v>
      </c>
      <c r="L53" s="297" t="s">
        <v>209</v>
      </c>
      <c r="M53" s="534"/>
    </row>
    <row r="54" spans="1:13" s="568" customFormat="1" ht="94.05" customHeight="1">
      <c r="A54" s="536" t="s">
        <v>210</v>
      </c>
      <c r="B54" s="537" t="s">
        <v>211</v>
      </c>
      <c r="C54" s="538" t="s">
        <v>113</v>
      </c>
      <c r="D54" s="539">
        <v>348</v>
      </c>
      <c r="E54" s="545">
        <v>35.119999999999997</v>
      </c>
      <c r="F54" s="290">
        <f t="shared" si="6"/>
        <v>12222</v>
      </c>
      <c r="G54" s="581">
        <v>25.2</v>
      </c>
      <c r="H54" s="290">
        <f t="shared" si="7"/>
        <v>8770</v>
      </c>
      <c r="I54" s="573"/>
      <c r="J54" s="300">
        <f>D54*I54</f>
        <v>0</v>
      </c>
      <c r="K54" s="297" t="s">
        <v>212</v>
      </c>
      <c r="L54" s="297" t="s">
        <v>213</v>
      </c>
      <c r="M54" s="534"/>
    </row>
    <row r="55" spans="1:13" s="568" customFormat="1">
      <c r="A55" s="536" t="s">
        <v>308</v>
      </c>
      <c r="B55" s="537" t="s">
        <v>309</v>
      </c>
      <c r="C55" s="538"/>
      <c r="D55" s="539"/>
      <c r="E55" s="545"/>
      <c r="F55" s="290"/>
      <c r="G55" s="581"/>
      <c r="H55" s="290"/>
      <c r="I55" s="574"/>
      <c r="J55" s="300"/>
      <c r="K55" s="297"/>
      <c r="L55" s="297"/>
      <c r="M55" s="534"/>
    </row>
    <row r="56" spans="1:13" s="568" customFormat="1" ht="94.05" customHeight="1">
      <c r="A56" s="536" t="s">
        <v>310</v>
      </c>
      <c r="B56" s="537" t="s">
        <v>311</v>
      </c>
      <c r="C56" s="538" t="s">
        <v>140</v>
      </c>
      <c r="D56" s="539">
        <v>72</v>
      </c>
      <c r="E56" s="545">
        <v>16.88</v>
      </c>
      <c r="F56" s="290">
        <f t="shared" ref="F56:F59" si="8">D56*E56</f>
        <v>1215</v>
      </c>
      <c r="G56" s="547">
        <v>12.99</v>
      </c>
      <c r="H56" s="290">
        <f t="shared" ref="H56:H59" si="9">G56*D56</f>
        <v>935</v>
      </c>
      <c r="I56" s="573"/>
      <c r="J56" s="300">
        <f>D56*I56</f>
        <v>0</v>
      </c>
      <c r="K56" s="297" t="s">
        <v>312</v>
      </c>
      <c r="L56" s="297" t="s">
        <v>313</v>
      </c>
      <c r="M56" s="534"/>
    </row>
    <row r="57" spans="1:13" s="568" customFormat="1" ht="94.05" customHeight="1">
      <c r="A57" s="536" t="s">
        <v>314</v>
      </c>
      <c r="B57" s="537" t="s">
        <v>315</v>
      </c>
      <c r="C57" s="538" t="s">
        <v>140</v>
      </c>
      <c r="D57" s="539">
        <v>30</v>
      </c>
      <c r="E57" s="545">
        <v>26.57</v>
      </c>
      <c r="F57" s="290">
        <f t="shared" si="8"/>
        <v>797</v>
      </c>
      <c r="G57" s="547">
        <v>12.41</v>
      </c>
      <c r="H57" s="290">
        <f t="shared" si="9"/>
        <v>372</v>
      </c>
      <c r="I57" s="573"/>
      <c r="J57" s="300">
        <f>D57*I57</f>
        <v>0</v>
      </c>
      <c r="K57" s="297" t="s">
        <v>312</v>
      </c>
      <c r="L57" s="297" t="s">
        <v>313</v>
      </c>
      <c r="M57" s="534"/>
    </row>
    <row r="58" spans="1:13" s="568" customFormat="1" ht="94.05" customHeight="1">
      <c r="A58" s="536" t="s">
        <v>316</v>
      </c>
      <c r="B58" s="537" t="s">
        <v>317</v>
      </c>
      <c r="C58" s="538" t="s">
        <v>140</v>
      </c>
      <c r="D58" s="539">
        <v>32</v>
      </c>
      <c r="E58" s="545">
        <v>19.63</v>
      </c>
      <c r="F58" s="290">
        <f t="shared" si="8"/>
        <v>628</v>
      </c>
      <c r="G58" s="547">
        <v>15.78</v>
      </c>
      <c r="H58" s="290">
        <f t="shared" si="9"/>
        <v>505</v>
      </c>
      <c r="I58" s="573"/>
      <c r="J58" s="300">
        <f>D58*I58</f>
        <v>0</v>
      </c>
      <c r="K58" s="297" t="s">
        <v>312</v>
      </c>
      <c r="L58" s="297" t="s">
        <v>313</v>
      </c>
      <c r="M58" s="534"/>
    </row>
    <row r="59" spans="1:13" s="568" customFormat="1" ht="118.05" customHeight="1">
      <c r="A59" s="536" t="s">
        <v>318</v>
      </c>
      <c r="B59" s="537" t="s">
        <v>319</v>
      </c>
      <c r="C59" s="538" t="s">
        <v>140</v>
      </c>
      <c r="D59" s="539">
        <v>128</v>
      </c>
      <c r="E59" s="545">
        <v>77.02</v>
      </c>
      <c r="F59" s="290">
        <f t="shared" si="8"/>
        <v>9859</v>
      </c>
      <c r="G59" s="547">
        <v>61.44</v>
      </c>
      <c r="H59" s="290">
        <f t="shared" si="9"/>
        <v>7864</v>
      </c>
      <c r="I59" s="573"/>
      <c r="J59" s="300">
        <f>D59*I59</f>
        <v>0</v>
      </c>
      <c r="K59" s="297" t="s">
        <v>320</v>
      </c>
      <c r="L59" s="297" t="s">
        <v>321</v>
      </c>
      <c r="M59" s="579"/>
    </row>
    <row r="60" spans="1:13" s="568" customFormat="1">
      <c r="A60" s="536" t="s">
        <v>322</v>
      </c>
      <c r="B60" s="537" t="s">
        <v>323</v>
      </c>
      <c r="C60" s="538"/>
      <c r="D60" s="539"/>
      <c r="E60" s="545"/>
      <c r="F60" s="290"/>
      <c r="G60" s="581"/>
      <c r="H60" s="290"/>
      <c r="I60" s="574"/>
      <c r="J60" s="300"/>
      <c r="K60" s="297"/>
      <c r="L60" s="297"/>
      <c r="M60" s="579"/>
    </row>
    <row r="61" spans="1:13" s="568" customFormat="1" ht="118.05" customHeight="1">
      <c r="A61" s="536" t="s">
        <v>324</v>
      </c>
      <c r="B61" s="537" t="s">
        <v>325</v>
      </c>
      <c r="C61" s="538" t="s">
        <v>140</v>
      </c>
      <c r="D61" s="539">
        <v>210</v>
      </c>
      <c r="E61" s="545">
        <v>47.75</v>
      </c>
      <c r="F61" s="290">
        <f t="shared" ref="F61:F63" si="10">D61*E61</f>
        <v>10028</v>
      </c>
      <c r="G61" s="547">
        <v>33</v>
      </c>
      <c r="H61" s="290">
        <f t="shared" ref="H61:H63" si="11">G61*D61</f>
        <v>6930</v>
      </c>
      <c r="I61" s="573"/>
      <c r="J61" s="300">
        <f>D61*I61</f>
        <v>0</v>
      </c>
      <c r="K61" s="297" t="s">
        <v>320</v>
      </c>
      <c r="L61" s="297" t="s">
        <v>321</v>
      </c>
      <c r="M61" s="579"/>
    </row>
    <row r="62" spans="1:13" s="568" customFormat="1" ht="118.05" customHeight="1">
      <c r="A62" s="536" t="s">
        <v>326</v>
      </c>
      <c r="B62" s="537" t="s">
        <v>327</v>
      </c>
      <c r="C62" s="538" t="s">
        <v>95</v>
      </c>
      <c r="D62" s="539">
        <v>14</v>
      </c>
      <c r="E62" s="545">
        <v>143.52000000000001</v>
      </c>
      <c r="F62" s="290">
        <f t="shared" si="10"/>
        <v>2009</v>
      </c>
      <c r="G62" s="611">
        <v>115.28</v>
      </c>
      <c r="H62" s="290">
        <f t="shared" si="11"/>
        <v>1614</v>
      </c>
      <c r="I62" s="573"/>
      <c r="J62" s="300">
        <f>D62*I62</f>
        <v>0</v>
      </c>
      <c r="K62" s="297" t="s">
        <v>320</v>
      </c>
      <c r="L62" s="297" t="s">
        <v>321</v>
      </c>
      <c r="M62" s="579"/>
    </row>
    <row r="63" spans="1:13" s="568" customFormat="1" ht="106.05" customHeight="1">
      <c r="A63" s="536" t="s">
        <v>328</v>
      </c>
      <c r="B63" s="537" t="s">
        <v>329</v>
      </c>
      <c r="C63" s="538" t="s">
        <v>140</v>
      </c>
      <c r="D63" s="539">
        <v>309</v>
      </c>
      <c r="E63" s="545">
        <v>68.819999999999993</v>
      </c>
      <c r="F63" s="290">
        <f t="shared" si="10"/>
        <v>21265</v>
      </c>
      <c r="G63" s="611">
        <v>64.790000000000006</v>
      </c>
      <c r="H63" s="290">
        <f t="shared" si="11"/>
        <v>20020</v>
      </c>
      <c r="I63" s="573"/>
      <c r="J63" s="300">
        <f>D63*I63</f>
        <v>0</v>
      </c>
      <c r="K63" s="297" t="s">
        <v>330</v>
      </c>
      <c r="L63" s="297" t="s">
        <v>331</v>
      </c>
      <c r="M63" s="579"/>
    </row>
    <row r="64" spans="1:13" s="568" customFormat="1">
      <c r="A64" s="536" t="s">
        <v>214</v>
      </c>
      <c r="B64" s="537" t="s">
        <v>215</v>
      </c>
      <c r="C64" s="538"/>
      <c r="D64" s="539"/>
      <c r="E64" s="545"/>
      <c r="F64" s="290"/>
      <c r="G64" s="581"/>
      <c r="H64" s="290"/>
      <c r="I64" s="574"/>
      <c r="J64" s="300"/>
      <c r="K64" s="297"/>
      <c r="L64" s="297"/>
      <c r="M64" s="534"/>
    </row>
    <row r="65" spans="1:13" s="568" customFormat="1" ht="94.05" customHeight="1">
      <c r="A65" s="536" t="s">
        <v>216</v>
      </c>
      <c r="B65" s="537" t="s">
        <v>217</v>
      </c>
      <c r="C65" s="538" t="s">
        <v>95</v>
      </c>
      <c r="D65" s="539">
        <v>5.2080000000000002</v>
      </c>
      <c r="E65" s="545">
        <v>1210.25</v>
      </c>
      <c r="F65" s="290">
        <f t="shared" ref="F65:F70" si="12">D65*E65</f>
        <v>6303</v>
      </c>
      <c r="G65" s="581">
        <v>280</v>
      </c>
      <c r="H65" s="290">
        <f t="shared" ref="H65:H70" si="13">G65*D65</f>
        <v>1458</v>
      </c>
      <c r="I65" s="573"/>
      <c r="J65" s="300">
        <f t="shared" ref="J65:J70" si="14">D65*I65</f>
        <v>0</v>
      </c>
      <c r="K65" s="297" t="s">
        <v>201</v>
      </c>
      <c r="L65" s="297" t="s">
        <v>1518</v>
      </c>
      <c r="M65" s="534"/>
    </row>
    <row r="66" spans="1:13" s="568" customFormat="1" ht="154.05000000000001" customHeight="1">
      <c r="A66" s="536" t="s">
        <v>218</v>
      </c>
      <c r="B66" s="537" t="s">
        <v>219</v>
      </c>
      <c r="C66" s="538" t="s">
        <v>95</v>
      </c>
      <c r="D66" s="539">
        <v>20.9</v>
      </c>
      <c r="E66" s="545">
        <v>879.72</v>
      </c>
      <c r="F66" s="290">
        <f t="shared" si="12"/>
        <v>18386</v>
      </c>
      <c r="G66" s="581">
        <v>212.47</v>
      </c>
      <c r="H66" s="290">
        <f t="shared" si="13"/>
        <v>4441</v>
      </c>
      <c r="I66" s="573"/>
      <c r="J66" s="300">
        <f t="shared" si="14"/>
        <v>0</v>
      </c>
      <c r="K66" s="297" t="s">
        <v>201</v>
      </c>
      <c r="L66" s="297" t="s">
        <v>1519</v>
      </c>
      <c r="M66" s="534"/>
    </row>
    <row r="67" spans="1:13" s="568" customFormat="1" ht="118.05" customHeight="1">
      <c r="A67" s="536" t="s">
        <v>220</v>
      </c>
      <c r="B67" s="537" t="s">
        <v>221</v>
      </c>
      <c r="C67" s="538" t="s">
        <v>164</v>
      </c>
      <c r="D67" s="539">
        <v>1838</v>
      </c>
      <c r="E67" s="545">
        <v>5.88</v>
      </c>
      <c r="F67" s="290">
        <f t="shared" si="12"/>
        <v>10807</v>
      </c>
      <c r="G67" s="581">
        <v>0.72</v>
      </c>
      <c r="H67" s="290">
        <f t="shared" si="13"/>
        <v>1323</v>
      </c>
      <c r="I67" s="573"/>
      <c r="J67" s="300">
        <f t="shared" si="14"/>
        <v>0</v>
      </c>
      <c r="K67" s="297" t="s">
        <v>165</v>
      </c>
      <c r="L67" s="297" t="s">
        <v>1512</v>
      </c>
      <c r="M67" s="534"/>
    </row>
    <row r="68" spans="1:13" s="568" customFormat="1" ht="106.05" customHeight="1">
      <c r="A68" s="536" t="s">
        <v>222</v>
      </c>
      <c r="B68" s="537" t="s">
        <v>223</v>
      </c>
      <c r="C68" s="538" t="s">
        <v>164</v>
      </c>
      <c r="D68" s="539">
        <v>414</v>
      </c>
      <c r="E68" s="545">
        <v>11.05</v>
      </c>
      <c r="F68" s="290">
        <f t="shared" si="12"/>
        <v>4575</v>
      </c>
      <c r="G68" s="581">
        <v>9.09</v>
      </c>
      <c r="H68" s="290">
        <f t="shared" si="13"/>
        <v>3763</v>
      </c>
      <c r="I68" s="573"/>
      <c r="J68" s="300">
        <f t="shared" si="14"/>
        <v>0</v>
      </c>
      <c r="K68" s="297" t="s">
        <v>181</v>
      </c>
      <c r="L68" s="297" t="s">
        <v>224</v>
      </c>
      <c r="M68" s="534"/>
    </row>
    <row r="69" spans="1:13" s="568" customFormat="1" ht="79.95" customHeight="1">
      <c r="A69" s="536" t="s">
        <v>225</v>
      </c>
      <c r="B69" s="537" t="s">
        <v>226</v>
      </c>
      <c r="C69" s="538" t="s">
        <v>164</v>
      </c>
      <c r="D69" s="539">
        <v>1295</v>
      </c>
      <c r="E69" s="545">
        <v>13.5</v>
      </c>
      <c r="F69" s="290">
        <f t="shared" si="12"/>
        <v>17483</v>
      </c>
      <c r="G69" s="581">
        <v>11</v>
      </c>
      <c r="H69" s="290">
        <f t="shared" si="13"/>
        <v>14245</v>
      </c>
      <c r="I69" s="573"/>
      <c r="J69" s="300">
        <f t="shared" si="14"/>
        <v>0</v>
      </c>
      <c r="K69" s="297" t="s">
        <v>227</v>
      </c>
      <c r="L69" s="297" t="s">
        <v>228</v>
      </c>
      <c r="M69" s="534"/>
    </row>
    <row r="70" spans="1:13" s="568" customFormat="1" ht="79.95" customHeight="1">
      <c r="A70" s="536" t="s">
        <v>332</v>
      </c>
      <c r="B70" s="537" t="s">
        <v>333</v>
      </c>
      <c r="C70" s="538" t="s">
        <v>95</v>
      </c>
      <c r="D70" s="539">
        <v>5</v>
      </c>
      <c r="E70" s="545">
        <v>166.13</v>
      </c>
      <c r="F70" s="290">
        <f t="shared" si="12"/>
        <v>831</v>
      </c>
      <c r="G70" s="581">
        <v>126.3</v>
      </c>
      <c r="H70" s="290">
        <f t="shared" si="13"/>
        <v>632</v>
      </c>
      <c r="I70" s="573"/>
      <c r="J70" s="300">
        <f t="shared" si="14"/>
        <v>0</v>
      </c>
      <c r="K70" s="297" t="s">
        <v>334</v>
      </c>
      <c r="L70" s="297" t="s">
        <v>335</v>
      </c>
      <c r="M70" s="534"/>
    </row>
    <row r="71" spans="1:13" s="568" customFormat="1">
      <c r="A71" s="536" t="s">
        <v>229</v>
      </c>
      <c r="B71" s="537" t="s">
        <v>230</v>
      </c>
      <c r="C71" s="538"/>
      <c r="D71" s="539"/>
      <c r="E71" s="545"/>
      <c r="F71" s="290"/>
      <c r="G71" s="581"/>
      <c r="H71" s="290"/>
      <c r="I71" s="574"/>
      <c r="J71" s="300"/>
      <c r="K71" s="297"/>
      <c r="L71" s="297"/>
      <c r="M71" s="534"/>
    </row>
    <row r="72" spans="1:13" s="568" customFormat="1">
      <c r="A72" s="536" t="s">
        <v>231</v>
      </c>
      <c r="B72" s="537" t="s">
        <v>232</v>
      </c>
      <c r="C72" s="538"/>
      <c r="D72" s="539"/>
      <c r="E72" s="545"/>
      <c r="F72" s="290"/>
      <c r="G72" s="581"/>
      <c r="H72" s="290"/>
      <c r="I72" s="574"/>
      <c r="J72" s="300"/>
      <c r="K72" s="297"/>
      <c r="L72" s="297"/>
      <c r="M72" s="534"/>
    </row>
    <row r="73" spans="1:13" s="568" customFormat="1">
      <c r="A73" s="536" t="s">
        <v>233</v>
      </c>
      <c r="B73" s="537" t="s">
        <v>234</v>
      </c>
      <c r="C73" s="538"/>
      <c r="D73" s="539"/>
      <c r="E73" s="545"/>
      <c r="F73" s="290"/>
      <c r="G73" s="581"/>
      <c r="H73" s="290"/>
      <c r="I73" s="574"/>
      <c r="J73" s="300"/>
      <c r="K73" s="297"/>
      <c r="L73" s="297"/>
      <c r="M73" s="534"/>
    </row>
    <row r="74" spans="1:13" s="568" customFormat="1" ht="163.95" customHeight="1">
      <c r="A74" s="536" t="s">
        <v>235</v>
      </c>
      <c r="B74" s="537" t="s">
        <v>236</v>
      </c>
      <c r="C74" s="538" t="s">
        <v>113</v>
      </c>
      <c r="D74" s="539">
        <v>129.167</v>
      </c>
      <c r="E74" s="545">
        <v>203.98</v>
      </c>
      <c r="F74" s="290">
        <f t="shared" ref="F74:F77" si="15">D74*E74</f>
        <v>26347</v>
      </c>
      <c r="G74" s="581">
        <v>17.86</v>
      </c>
      <c r="H74" s="290">
        <f t="shared" ref="H74:H77" si="16">G74*D74</f>
        <v>2307</v>
      </c>
      <c r="I74" s="573"/>
      <c r="J74" s="300">
        <f>D74*I74</f>
        <v>0</v>
      </c>
      <c r="K74" s="297" t="s">
        <v>237</v>
      </c>
      <c r="L74" s="297" t="s">
        <v>1520</v>
      </c>
      <c r="M74" s="534"/>
    </row>
    <row r="75" spans="1:13" s="568" customFormat="1" ht="130.05000000000001" customHeight="1">
      <c r="A75" s="536" t="s">
        <v>240</v>
      </c>
      <c r="B75" s="537" t="s">
        <v>241</v>
      </c>
      <c r="C75" s="538" t="s">
        <v>164</v>
      </c>
      <c r="D75" s="539">
        <v>2619</v>
      </c>
      <c r="E75" s="545">
        <v>5.16</v>
      </c>
      <c r="F75" s="290">
        <f t="shared" si="15"/>
        <v>13514</v>
      </c>
      <c r="G75" s="581">
        <v>0.6</v>
      </c>
      <c r="H75" s="290">
        <f t="shared" si="16"/>
        <v>1571</v>
      </c>
      <c r="I75" s="573"/>
      <c r="J75" s="300">
        <f>D75*I75</f>
        <v>0</v>
      </c>
      <c r="K75" s="297" t="s">
        <v>242</v>
      </c>
      <c r="L75" s="297" t="s">
        <v>1514</v>
      </c>
      <c r="M75" s="534"/>
    </row>
    <row r="76" spans="1:13" s="568" customFormat="1" ht="79.95" customHeight="1">
      <c r="A76" s="536" t="s">
        <v>243</v>
      </c>
      <c r="B76" s="537" t="s">
        <v>244</v>
      </c>
      <c r="C76" s="538" t="s">
        <v>95</v>
      </c>
      <c r="D76" s="539">
        <v>150</v>
      </c>
      <c r="E76" s="545">
        <v>151.91999999999999</v>
      </c>
      <c r="F76" s="290">
        <f t="shared" si="15"/>
        <v>22788</v>
      </c>
      <c r="G76" s="581">
        <v>82</v>
      </c>
      <c r="H76" s="290">
        <f t="shared" si="16"/>
        <v>12300</v>
      </c>
      <c r="I76" s="573"/>
      <c r="J76" s="300">
        <f>D76*I76</f>
        <v>0</v>
      </c>
      <c r="K76" s="297" t="s">
        <v>245</v>
      </c>
      <c r="L76" s="297" t="s">
        <v>246</v>
      </c>
      <c r="M76" s="579"/>
    </row>
    <row r="77" spans="1:13" s="568" customFormat="1" ht="90" customHeight="1">
      <c r="A77" s="536" t="s">
        <v>247</v>
      </c>
      <c r="B77" s="537" t="s">
        <v>248</v>
      </c>
      <c r="C77" s="538" t="s">
        <v>95</v>
      </c>
      <c r="D77" s="539">
        <v>150</v>
      </c>
      <c r="E77" s="545">
        <v>56.93</v>
      </c>
      <c r="F77" s="290">
        <f t="shared" si="15"/>
        <v>8540</v>
      </c>
      <c r="G77" s="581">
        <v>20</v>
      </c>
      <c r="H77" s="290">
        <f t="shared" si="16"/>
        <v>3000</v>
      </c>
      <c r="I77" s="573"/>
      <c r="J77" s="300">
        <f>D77*I77</f>
        <v>0</v>
      </c>
      <c r="K77" s="297" t="s">
        <v>103</v>
      </c>
      <c r="L77" s="297" t="s">
        <v>104</v>
      </c>
      <c r="M77" s="579"/>
    </row>
    <row r="78" spans="1:13" s="568" customFormat="1">
      <c r="A78" s="541">
        <v>600</v>
      </c>
      <c r="B78" s="542" t="s">
        <v>252</v>
      </c>
      <c r="C78" s="538"/>
      <c r="D78" s="543"/>
      <c r="E78" s="582"/>
      <c r="F78" s="288"/>
      <c r="G78" s="582"/>
      <c r="H78" s="288"/>
      <c r="I78" s="567"/>
      <c r="J78" s="293"/>
      <c r="K78" s="294"/>
      <c r="L78" s="294"/>
      <c r="M78" s="579"/>
    </row>
    <row r="79" spans="1:13" s="568" customFormat="1" ht="13.2">
      <c r="A79" s="536">
        <v>605</v>
      </c>
      <c r="B79" s="537" t="s">
        <v>253</v>
      </c>
      <c r="C79" s="538"/>
      <c r="D79" s="545"/>
      <c r="E79" s="603"/>
      <c r="F79" s="288"/>
      <c r="G79" s="582"/>
      <c r="H79" s="288"/>
      <c r="I79" s="567"/>
      <c r="J79" s="293"/>
      <c r="K79" s="294"/>
      <c r="L79" s="294"/>
      <c r="M79" s="579"/>
    </row>
    <row r="80" spans="1:13" s="568" customFormat="1" ht="13.2">
      <c r="A80" s="536" t="s">
        <v>254</v>
      </c>
      <c r="B80" s="537" t="s">
        <v>255</v>
      </c>
      <c r="C80" s="538"/>
      <c r="D80" s="545"/>
      <c r="E80" s="603"/>
      <c r="F80" s="288"/>
      <c r="G80" s="582"/>
      <c r="H80" s="288"/>
      <c r="I80" s="567"/>
      <c r="J80" s="293"/>
      <c r="K80" s="294"/>
      <c r="L80" s="294"/>
      <c r="M80" s="579"/>
    </row>
    <row r="81" spans="1:13" s="568" customFormat="1" ht="79.95" customHeight="1">
      <c r="A81" s="536" t="s">
        <v>256</v>
      </c>
      <c r="B81" s="537" t="s">
        <v>257</v>
      </c>
      <c r="C81" s="538" t="s">
        <v>113</v>
      </c>
      <c r="D81" s="539">
        <v>22.5</v>
      </c>
      <c r="E81" s="545">
        <v>43.86</v>
      </c>
      <c r="F81" s="290">
        <f>D81*E81</f>
        <v>987</v>
      </c>
      <c r="G81" s="581">
        <v>32.68</v>
      </c>
      <c r="H81" s="290">
        <f t="shared" ref="H81" si="17">G81*D81</f>
        <v>735</v>
      </c>
      <c r="I81" s="573"/>
      <c r="J81" s="300">
        <f>D81*I81</f>
        <v>0</v>
      </c>
      <c r="K81" s="297" t="s">
        <v>258</v>
      </c>
      <c r="L81" s="297" t="s">
        <v>259</v>
      </c>
      <c r="M81" s="579"/>
    </row>
    <row r="82" spans="1:13" s="576" customFormat="1" ht="23.1" customHeight="1">
      <c r="A82" s="583" t="s">
        <v>260</v>
      </c>
      <c r="B82" s="584"/>
      <c r="C82" s="530"/>
      <c r="D82" s="531"/>
      <c r="E82" s="598"/>
      <c r="F82" s="348">
        <f t="shared" ref="F82:J82" si="18">SUM(F6:F81)</f>
        <v>923563</v>
      </c>
      <c r="G82" s="585"/>
      <c r="H82" s="348">
        <f t="shared" si="18"/>
        <v>392944</v>
      </c>
      <c r="I82" s="575"/>
      <c r="J82" s="348">
        <f t="shared" si="18"/>
        <v>7191</v>
      </c>
      <c r="K82" s="349"/>
      <c r="L82" s="349"/>
      <c r="M82" s="580"/>
    </row>
  </sheetData>
  <sheetProtection algorithmName="SHA-512" hashValue="O02RNtH7vMtUMFZffClZ2zHl46HzfxNpb8fT2GAXxbnSc9hph6aQhKZlnMfjsBgRT3n1bJoL5YliixbA1yjJfQ==" saltValue="z225x1sxiOhhWIRiB0KSsw==" spinCount="100000" sheet="1" objects="1" scenarios="1"/>
  <mergeCells count="16">
    <mergeCell ref="A1:M1"/>
    <mergeCell ref="A2:I2"/>
    <mergeCell ref="A82:B82"/>
    <mergeCell ref="A4:A5"/>
    <mergeCell ref="B4:B5"/>
    <mergeCell ref="C4:C5"/>
    <mergeCell ref="D4:D5"/>
    <mergeCell ref="E4:E5"/>
    <mergeCell ref="F4:F5"/>
    <mergeCell ref="G4:G5"/>
    <mergeCell ref="H4:H5"/>
    <mergeCell ref="I4:I5"/>
    <mergeCell ref="J4:J5"/>
    <mergeCell ref="K4:K5"/>
    <mergeCell ref="L4:L5"/>
    <mergeCell ref="M4:M5"/>
  </mergeCells>
  <phoneticPr fontId="98" type="noConversion"/>
  <conditionalFormatting sqref="M3 C6:C78 N6:IM55 A7:B15 N1:IC1">
    <cfRule type="cellIs" dxfId="57" priority="15" operator="equal">
      <formula>0</formula>
    </cfRule>
  </conditionalFormatting>
  <conditionalFormatting sqref="M21">
    <cfRule type="cellIs" dxfId="56" priority="30" operator="equal">
      <formula>0</formula>
    </cfRule>
  </conditionalFormatting>
  <conditionalFormatting sqref="M30">
    <cfRule type="cellIs" dxfId="55" priority="29" operator="equal">
      <formula>0</formula>
    </cfRule>
  </conditionalFormatting>
  <conditionalFormatting sqref="M36">
    <cfRule type="cellIs" dxfId="54" priority="28" operator="equal">
      <formula>0</formula>
    </cfRule>
  </conditionalFormatting>
  <conditionalFormatting sqref="M38">
    <cfRule type="cellIs" dxfId="53" priority="27" operator="equal">
      <formula>0</formula>
    </cfRule>
  </conditionalFormatting>
  <conditionalFormatting sqref="M40">
    <cfRule type="cellIs" dxfId="52" priority="26" operator="equal">
      <formula>0</formula>
    </cfRule>
  </conditionalFormatting>
  <conditionalFormatting sqref="M67">
    <cfRule type="cellIs" dxfId="51" priority="18" operator="equal">
      <formula>0</formula>
    </cfRule>
  </conditionalFormatting>
  <conditionalFormatting sqref="M72">
    <cfRule type="cellIs" dxfId="50" priority="23" operator="equal">
      <formula>0</formula>
    </cfRule>
  </conditionalFormatting>
  <conditionalFormatting sqref="M73">
    <cfRule type="cellIs" dxfId="49" priority="22" operator="equal">
      <formula>0</formula>
    </cfRule>
  </conditionalFormatting>
  <conditionalFormatting sqref="M74">
    <cfRule type="cellIs" dxfId="48" priority="17" operator="equal">
      <formula>0</formula>
    </cfRule>
  </conditionalFormatting>
  <conditionalFormatting sqref="M75">
    <cfRule type="cellIs" dxfId="47" priority="16" operator="equal">
      <formula>0</formula>
    </cfRule>
  </conditionalFormatting>
  <conditionalFormatting sqref="C79:C81">
    <cfRule type="cellIs" dxfId="46" priority="20" operator="equal">
      <formula>0</formula>
    </cfRule>
  </conditionalFormatting>
  <conditionalFormatting sqref="M42:M58">
    <cfRule type="cellIs" dxfId="45" priority="25" operator="equal">
      <formula>0</formula>
    </cfRule>
  </conditionalFormatting>
  <conditionalFormatting sqref="M65:M66">
    <cfRule type="cellIs" dxfId="44" priority="19" operator="equal">
      <formula>0</formula>
    </cfRule>
  </conditionalFormatting>
  <conditionalFormatting sqref="A3:L3 A4:D4 A5:C5 C82 J2:L2 A2 N2:IM5 N56:IM82">
    <cfRule type="cellIs" dxfId="43" priority="33" operator="equal">
      <formula>0</formula>
    </cfRule>
  </conditionalFormatting>
  <conditionalFormatting sqref="M2 M4">
    <cfRule type="cellIs" dxfId="42" priority="32" operator="equal">
      <formula>0</formula>
    </cfRule>
  </conditionalFormatting>
  <conditionalFormatting sqref="M64 M68:M71">
    <cfRule type="cellIs" dxfId="41" priority="24" operator="equal">
      <formula>0</formula>
    </cfRule>
  </conditionalFormatting>
  <conditionalFormatting sqref="A1">
    <cfRule type="cellIs" dxfId="40" priority="2" operator="equal">
      <formula>0</formula>
    </cfRule>
  </conditionalFormatting>
  <printOptions horizontalCentered="1"/>
  <pageMargins left="0.31496062992126" right="0.31496062992126" top="0.74803149606299202" bottom="0.74803149606299202" header="0.31496062992126" footer="0.31496062992126"/>
  <pageSetup paperSize="9" scale="64" fitToHeight="0" orientation="landscape" r:id="rId1"/>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42"/>
  <sheetViews>
    <sheetView zoomScale="40" zoomScaleNormal="40" workbookViewId="0">
      <selection activeCellId="6" sqref="J33:M42 A33:H42 J24:M32 A24:H32 J10:M23 A10:H23 A1:M9"/>
    </sheetView>
  </sheetViews>
  <sheetFormatPr defaultColWidth="9.109375" defaultRowHeight="12"/>
  <cols>
    <col min="1" max="1" width="20.88671875" style="498" customWidth="1"/>
    <col min="2" max="2" width="27.21875" style="498" customWidth="1"/>
    <col min="3" max="3" width="6.5546875" style="566" customWidth="1"/>
    <col min="4" max="4" width="10.5546875" style="577" customWidth="1"/>
    <col min="5" max="5" width="9.6640625" style="498" hidden="1" customWidth="1"/>
    <col min="6" max="6" width="14.5546875" style="498" hidden="1" customWidth="1"/>
    <col min="7" max="7" width="11.109375" style="498" customWidth="1"/>
    <col min="8" max="8" width="15.77734375" style="498" customWidth="1"/>
    <col min="9" max="9" width="10.77734375" style="498" customWidth="1"/>
    <col min="10" max="10" width="15.77734375" style="498" customWidth="1"/>
    <col min="11" max="11" width="23.6640625" style="565" customWidth="1"/>
    <col min="12" max="12" width="60.77734375" style="565" customWidth="1"/>
    <col min="13" max="13" width="19.77734375" style="566" customWidth="1"/>
    <col min="14" max="14" width="23.33203125" style="495" customWidth="1"/>
    <col min="15" max="15" width="9.109375" style="498"/>
    <col min="16" max="17" width="11.33203125" style="498" customWidth="1"/>
    <col min="18" max="18" width="25" style="498" customWidth="1"/>
    <col min="19" max="16384" width="9.109375" style="498"/>
  </cols>
  <sheetData>
    <row r="1" spans="1:14" s="495" customFormat="1" ht="55.8" customHeight="1">
      <c r="A1" s="499" t="s">
        <v>1527</v>
      </c>
      <c r="B1" s="499"/>
      <c r="C1" s="499"/>
      <c r="D1" s="499"/>
      <c r="E1" s="499"/>
      <c r="F1" s="499"/>
      <c r="G1" s="499"/>
      <c r="H1" s="499"/>
      <c r="I1" s="549"/>
      <c r="J1" s="499"/>
      <c r="K1" s="499"/>
      <c r="L1" s="499"/>
      <c r="M1" s="499"/>
    </row>
    <row r="2" spans="1:14" ht="18.75" customHeight="1">
      <c r="A2" s="550" t="s">
        <v>336</v>
      </c>
      <c r="B2" s="550"/>
      <c r="C2" s="550"/>
      <c r="D2" s="550"/>
      <c r="E2" s="550"/>
      <c r="F2" s="550"/>
      <c r="G2" s="550"/>
      <c r="H2" s="550"/>
      <c r="I2" s="588"/>
      <c r="J2" s="588"/>
      <c r="K2" s="589"/>
      <c r="L2" s="589"/>
      <c r="M2" s="590"/>
    </row>
    <row r="3" spans="1:14" ht="18.75" customHeight="1">
      <c r="A3" s="591" t="s">
        <v>55</v>
      </c>
      <c r="B3" s="591"/>
      <c r="C3" s="592"/>
      <c r="D3" s="593"/>
      <c r="E3" s="591"/>
      <c r="F3" s="594"/>
      <c r="G3" s="594"/>
      <c r="H3" s="594"/>
      <c r="I3" s="594"/>
      <c r="J3" s="594"/>
      <c r="K3" s="591"/>
      <c r="L3" s="591"/>
      <c r="M3" s="503" t="s">
        <v>39</v>
      </c>
    </row>
    <row r="4" spans="1:14" ht="20.100000000000001" customHeight="1">
      <c r="A4" s="378" t="s">
        <v>56</v>
      </c>
      <c r="B4" s="380" t="s">
        <v>57</v>
      </c>
      <c r="C4" s="380" t="s">
        <v>58</v>
      </c>
      <c r="D4" s="557" t="s">
        <v>59</v>
      </c>
      <c r="E4" s="558" t="s">
        <v>60</v>
      </c>
      <c r="F4" s="380" t="s">
        <v>61</v>
      </c>
      <c r="G4" s="558" t="s">
        <v>1528</v>
      </c>
      <c r="H4" s="371" t="s">
        <v>1529</v>
      </c>
      <c r="I4" s="375" t="s">
        <v>1530</v>
      </c>
      <c r="J4" s="377" t="s">
        <v>1531</v>
      </c>
      <c r="K4" s="377" t="s">
        <v>62</v>
      </c>
      <c r="L4" s="377" t="s">
        <v>63</v>
      </c>
      <c r="M4" s="616" t="s">
        <v>12</v>
      </c>
    </row>
    <row r="5" spans="1:14" ht="20.100000000000001" customHeight="1">
      <c r="A5" s="379"/>
      <c r="B5" s="381"/>
      <c r="C5" s="381"/>
      <c r="D5" s="560"/>
      <c r="E5" s="561"/>
      <c r="F5" s="381"/>
      <c r="G5" s="561"/>
      <c r="H5" s="372"/>
      <c r="I5" s="376"/>
      <c r="J5" s="376"/>
      <c r="K5" s="376"/>
      <c r="L5" s="376"/>
      <c r="M5" s="617"/>
    </row>
    <row r="6" spans="1:14" s="568" customFormat="1">
      <c r="A6" s="541">
        <v>100</v>
      </c>
      <c r="B6" s="542" t="s">
        <v>64</v>
      </c>
      <c r="C6" s="288"/>
      <c r="D6" s="543"/>
      <c r="E6" s="582"/>
      <c r="F6" s="288"/>
      <c r="G6" s="582"/>
      <c r="H6" s="288"/>
      <c r="I6" s="293"/>
      <c r="J6" s="293"/>
      <c r="K6" s="294"/>
      <c r="L6" s="294"/>
      <c r="M6" s="579"/>
      <c r="N6" s="495"/>
    </row>
    <row r="7" spans="1:14" s="568" customFormat="1">
      <c r="A7" s="536">
        <v>102</v>
      </c>
      <c r="B7" s="537" t="s">
        <v>66</v>
      </c>
      <c r="C7" s="538"/>
      <c r="D7" s="539"/>
      <c r="E7" s="545"/>
      <c r="F7" s="288"/>
      <c r="G7" s="582"/>
      <c r="H7" s="288"/>
      <c r="I7" s="293"/>
      <c r="J7" s="293"/>
      <c r="K7" s="294"/>
      <c r="L7" s="294"/>
      <c r="M7" s="579"/>
      <c r="N7" s="495"/>
    </row>
    <row r="8" spans="1:14" s="568" customFormat="1" ht="70.05" customHeight="1">
      <c r="A8" s="536" t="s">
        <v>67</v>
      </c>
      <c r="B8" s="537" t="s">
        <v>68</v>
      </c>
      <c r="C8" s="538" t="s">
        <v>65</v>
      </c>
      <c r="D8" s="539">
        <v>1</v>
      </c>
      <c r="E8" s="545">
        <v>10432.58</v>
      </c>
      <c r="F8" s="290">
        <f>D8*E8</f>
        <v>10433</v>
      </c>
      <c r="G8" s="596">
        <v>4731</v>
      </c>
      <c r="H8" s="290">
        <f t="shared" ref="H8:H9" si="0">G8*D8</f>
        <v>4731</v>
      </c>
      <c r="I8" s="302">
        <v>4731</v>
      </c>
      <c r="J8" s="302">
        <f t="shared" ref="J8:J11" si="1">ROUND(I8*D8,2)</f>
        <v>4731</v>
      </c>
      <c r="K8" s="296" t="s">
        <v>69</v>
      </c>
      <c r="L8" s="297" t="s">
        <v>70</v>
      </c>
      <c r="M8" s="578"/>
      <c r="N8" s="495"/>
    </row>
    <row r="9" spans="1:14" s="568" customFormat="1" ht="130.05000000000001" customHeight="1">
      <c r="A9" s="536" t="s">
        <v>71</v>
      </c>
      <c r="B9" s="537" t="s">
        <v>72</v>
      </c>
      <c r="C9" s="538" t="s">
        <v>65</v>
      </c>
      <c r="D9" s="539">
        <v>1</v>
      </c>
      <c r="E9" s="545">
        <v>57960</v>
      </c>
      <c r="F9" s="290">
        <f>D9*E9</f>
        <v>57960</v>
      </c>
      <c r="G9" s="596">
        <v>19363</v>
      </c>
      <c r="H9" s="290">
        <f t="shared" si="0"/>
        <v>19363</v>
      </c>
      <c r="I9" s="302">
        <v>19363</v>
      </c>
      <c r="J9" s="302">
        <f t="shared" si="1"/>
        <v>19363</v>
      </c>
      <c r="K9" s="296" t="s">
        <v>1536</v>
      </c>
      <c r="L9" s="297" t="s">
        <v>73</v>
      </c>
      <c r="M9" s="578"/>
      <c r="N9" s="495"/>
    </row>
    <row r="10" spans="1:14" s="568" customFormat="1">
      <c r="A10" s="536" t="s">
        <v>74</v>
      </c>
      <c r="B10" s="537" t="s">
        <v>75</v>
      </c>
      <c r="C10" s="538"/>
      <c r="D10" s="539"/>
      <c r="E10" s="545"/>
      <c r="F10" s="288"/>
      <c r="G10" s="582"/>
      <c r="H10" s="288"/>
      <c r="I10" s="569"/>
      <c r="J10" s="301"/>
      <c r="K10" s="294"/>
      <c r="L10" s="294"/>
      <c r="M10" s="579"/>
      <c r="N10" s="495"/>
    </row>
    <row r="11" spans="1:14" s="568" customFormat="1" ht="94.05" customHeight="1">
      <c r="A11" s="536" t="s">
        <v>76</v>
      </c>
      <c r="B11" s="537" t="s">
        <v>77</v>
      </c>
      <c r="C11" s="538" t="s">
        <v>78</v>
      </c>
      <c r="D11" s="539">
        <v>168</v>
      </c>
      <c r="E11" s="545">
        <v>953.22</v>
      </c>
      <c r="F11" s="290">
        <f>D11*E11</f>
        <v>160141</v>
      </c>
      <c r="G11" s="547">
        <v>530</v>
      </c>
      <c r="H11" s="290">
        <f>G11*D11</f>
        <v>89040</v>
      </c>
      <c r="I11" s="570"/>
      <c r="J11" s="302">
        <f t="shared" si="1"/>
        <v>0</v>
      </c>
      <c r="K11" s="296" t="s">
        <v>79</v>
      </c>
      <c r="L11" s="296" t="s">
        <v>80</v>
      </c>
      <c r="M11" s="579"/>
      <c r="N11" s="495"/>
    </row>
    <row r="12" spans="1:14" s="568" customFormat="1">
      <c r="A12" s="536">
        <v>104</v>
      </c>
      <c r="B12" s="537" t="s">
        <v>81</v>
      </c>
      <c r="C12" s="538"/>
      <c r="D12" s="539"/>
      <c r="E12" s="545"/>
      <c r="F12" s="288"/>
      <c r="G12" s="582"/>
      <c r="H12" s="288"/>
      <c r="I12" s="569"/>
      <c r="J12" s="301"/>
      <c r="K12" s="296"/>
      <c r="L12" s="294"/>
      <c r="M12" s="579"/>
      <c r="N12" s="495"/>
    </row>
    <row r="13" spans="1:14" s="568" customFormat="1" ht="24">
      <c r="A13" s="536" t="s">
        <v>82</v>
      </c>
      <c r="B13" s="537" t="s">
        <v>83</v>
      </c>
      <c r="C13" s="538" t="s">
        <v>65</v>
      </c>
      <c r="D13" s="539">
        <v>1</v>
      </c>
      <c r="E13" s="545">
        <v>9830</v>
      </c>
      <c r="F13" s="290">
        <f>D13*E13</f>
        <v>9830</v>
      </c>
      <c r="G13" s="547">
        <v>4915</v>
      </c>
      <c r="H13" s="290">
        <f>G13*D13</f>
        <v>4915</v>
      </c>
      <c r="I13" s="570"/>
      <c r="J13" s="302">
        <f t="shared" ref="J13:J17" si="2">ROUND(I13*D13,2)</f>
        <v>0</v>
      </c>
      <c r="K13" s="296" t="s">
        <v>69</v>
      </c>
      <c r="L13" s="296" t="s">
        <v>84</v>
      </c>
      <c r="M13" s="579"/>
      <c r="N13" s="495"/>
    </row>
    <row r="14" spans="1:14" s="568" customFormat="1">
      <c r="A14" s="536">
        <v>109</v>
      </c>
      <c r="B14" s="537" t="s">
        <v>85</v>
      </c>
      <c r="C14" s="538"/>
      <c r="D14" s="539"/>
      <c r="E14" s="545"/>
      <c r="F14" s="288"/>
      <c r="G14" s="582"/>
      <c r="H14" s="288"/>
      <c r="I14" s="570"/>
      <c r="J14" s="301"/>
      <c r="K14" s="296"/>
      <c r="L14" s="294"/>
      <c r="M14" s="579"/>
      <c r="N14" s="495"/>
    </row>
    <row r="15" spans="1:14" s="568" customFormat="1" ht="79.95" customHeight="1">
      <c r="A15" s="536" t="s">
        <v>86</v>
      </c>
      <c r="B15" s="537" t="s">
        <v>85</v>
      </c>
      <c r="C15" s="538" t="s">
        <v>65</v>
      </c>
      <c r="D15" s="539">
        <v>1</v>
      </c>
      <c r="E15" s="545">
        <v>20865.16</v>
      </c>
      <c r="F15" s="290">
        <f>D15*E15</f>
        <v>20865</v>
      </c>
      <c r="G15" s="547">
        <v>9462</v>
      </c>
      <c r="H15" s="290">
        <f>G15*D15</f>
        <v>9462</v>
      </c>
      <c r="I15" s="570"/>
      <c r="J15" s="302">
        <f t="shared" si="2"/>
        <v>0</v>
      </c>
      <c r="K15" s="296" t="s">
        <v>69</v>
      </c>
      <c r="L15" s="296" t="s">
        <v>1540</v>
      </c>
      <c r="M15" s="579"/>
      <c r="N15" s="495"/>
    </row>
    <row r="16" spans="1:14" s="568" customFormat="1">
      <c r="A16" s="536">
        <v>110</v>
      </c>
      <c r="B16" s="537" t="s">
        <v>19</v>
      </c>
      <c r="C16" s="538"/>
      <c r="D16" s="539"/>
      <c r="E16" s="545"/>
      <c r="F16" s="288"/>
      <c r="G16" s="582"/>
      <c r="H16" s="288"/>
      <c r="I16" s="569"/>
      <c r="J16" s="298"/>
      <c r="K16" s="294"/>
      <c r="L16" s="294"/>
      <c r="M16" s="579"/>
      <c r="N16" s="495"/>
    </row>
    <row r="17" spans="1:14" s="568" customFormat="1" ht="55.05" customHeight="1">
      <c r="A17" s="536" t="s">
        <v>337</v>
      </c>
      <c r="B17" s="537" t="s">
        <v>338</v>
      </c>
      <c r="C17" s="538" t="s">
        <v>65</v>
      </c>
      <c r="D17" s="539">
        <v>1</v>
      </c>
      <c r="E17" s="545">
        <v>39318.03</v>
      </c>
      <c r="F17" s="290">
        <f>D17*E17</f>
        <v>39318</v>
      </c>
      <c r="G17" s="547">
        <v>27523</v>
      </c>
      <c r="H17" s="290">
        <f>G17*D17</f>
        <v>27523</v>
      </c>
      <c r="I17" s="570"/>
      <c r="J17" s="302">
        <f t="shared" si="2"/>
        <v>0</v>
      </c>
      <c r="K17" s="297" t="s">
        <v>69</v>
      </c>
      <c r="L17" s="297" t="s">
        <v>339</v>
      </c>
      <c r="M17" s="579"/>
      <c r="N17" s="495"/>
    </row>
    <row r="18" spans="1:14" s="568" customFormat="1">
      <c r="A18" s="541">
        <v>500</v>
      </c>
      <c r="B18" s="542" t="s">
        <v>24</v>
      </c>
      <c r="C18" s="538"/>
      <c r="D18" s="539"/>
      <c r="E18" s="545"/>
      <c r="F18" s="288"/>
      <c r="G18" s="581"/>
      <c r="H18" s="288"/>
      <c r="I18" s="612"/>
      <c r="J18" s="298"/>
      <c r="K18" s="294"/>
      <c r="L18" s="294"/>
      <c r="M18" s="579"/>
      <c r="N18" s="495"/>
    </row>
    <row r="19" spans="1:14" s="568" customFormat="1">
      <c r="A19" s="536">
        <v>502</v>
      </c>
      <c r="B19" s="537" t="s">
        <v>340</v>
      </c>
      <c r="C19" s="538"/>
      <c r="D19" s="545"/>
      <c r="E19" s="545"/>
      <c r="F19" s="290"/>
      <c r="G19" s="581"/>
      <c r="H19" s="290"/>
      <c r="I19" s="613"/>
      <c r="J19" s="295"/>
      <c r="K19" s="297"/>
      <c r="L19" s="297"/>
      <c r="M19" s="534"/>
      <c r="N19" s="495"/>
    </row>
    <row r="20" spans="1:14" s="568" customFormat="1">
      <c r="A20" s="536" t="s">
        <v>341</v>
      </c>
      <c r="B20" s="537" t="s">
        <v>342</v>
      </c>
      <c r="C20" s="538"/>
      <c r="D20" s="545"/>
      <c r="E20" s="545"/>
      <c r="F20" s="290"/>
      <c r="G20" s="581"/>
      <c r="H20" s="290"/>
      <c r="I20" s="613"/>
      <c r="J20" s="295"/>
      <c r="K20" s="297"/>
      <c r="L20" s="297"/>
      <c r="M20" s="579"/>
      <c r="N20" s="495"/>
    </row>
    <row r="21" spans="1:14" s="568" customFormat="1">
      <c r="A21" s="536" t="s">
        <v>343</v>
      </c>
      <c r="B21" s="537" t="s">
        <v>215</v>
      </c>
      <c r="C21" s="538"/>
      <c r="D21" s="545"/>
      <c r="E21" s="545"/>
      <c r="F21" s="288"/>
      <c r="G21" s="582"/>
      <c r="H21" s="288"/>
      <c r="I21" s="612"/>
      <c r="J21" s="298"/>
      <c r="K21" s="294"/>
      <c r="L21" s="294"/>
      <c r="M21" s="579"/>
      <c r="N21" s="495"/>
    </row>
    <row r="22" spans="1:14" s="568" customFormat="1" ht="118.05" customHeight="1">
      <c r="A22" s="536" t="s">
        <v>344</v>
      </c>
      <c r="B22" s="537" t="s">
        <v>345</v>
      </c>
      <c r="C22" s="538" t="s">
        <v>95</v>
      </c>
      <c r="D22" s="539">
        <v>4.7300000000000004</v>
      </c>
      <c r="E22" s="545">
        <v>1149.25</v>
      </c>
      <c r="F22" s="290">
        <f>D22*E22</f>
        <v>5436</v>
      </c>
      <c r="G22" s="611">
        <v>927.92</v>
      </c>
      <c r="H22" s="290">
        <f t="shared" ref="H22:H24" si="3">G22*D22</f>
        <v>4389</v>
      </c>
      <c r="I22" s="613"/>
      <c r="J22" s="302">
        <f t="shared" ref="J22:J24" si="4">ROUND(I22*D22,2)</f>
        <v>0</v>
      </c>
      <c r="K22" s="297" t="s">
        <v>201</v>
      </c>
      <c r="L22" s="297" t="s">
        <v>346</v>
      </c>
      <c r="M22" s="579"/>
      <c r="N22" s="495"/>
    </row>
    <row r="23" spans="1:14" s="568" customFormat="1" ht="118.05" customHeight="1">
      <c r="A23" s="536" t="s">
        <v>347</v>
      </c>
      <c r="B23" s="537" t="s">
        <v>265</v>
      </c>
      <c r="C23" s="538" t="s">
        <v>164</v>
      </c>
      <c r="D23" s="539">
        <v>572.94500000000005</v>
      </c>
      <c r="E23" s="545">
        <v>5.94</v>
      </c>
      <c r="F23" s="290">
        <f>D23*E23</f>
        <v>3403</v>
      </c>
      <c r="G23" s="611">
        <v>4.55</v>
      </c>
      <c r="H23" s="290">
        <f t="shared" si="3"/>
        <v>2607</v>
      </c>
      <c r="I23" s="613"/>
      <c r="J23" s="302">
        <f t="shared" si="4"/>
        <v>0</v>
      </c>
      <c r="K23" s="297" t="s">
        <v>165</v>
      </c>
      <c r="L23" s="297" t="s">
        <v>348</v>
      </c>
      <c r="M23" s="579"/>
      <c r="N23" s="495"/>
    </row>
    <row r="24" spans="1:14" s="568" customFormat="1" ht="118.05" customHeight="1">
      <c r="A24" s="536" t="s">
        <v>349</v>
      </c>
      <c r="B24" s="537" t="s">
        <v>350</v>
      </c>
      <c r="C24" s="538" t="s">
        <v>351</v>
      </c>
      <c r="D24" s="539">
        <v>48</v>
      </c>
      <c r="E24" s="545">
        <v>656.59</v>
      </c>
      <c r="F24" s="290">
        <f>D24*E24</f>
        <v>31516</v>
      </c>
      <c r="G24" s="611">
        <v>423.08</v>
      </c>
      <c r="H24" s="290">
        <f t="shared" si="3"/>
        <v>20308</v>
      </c>
      <c r="I24" s="613"/>
      <c r="J24" s="302">
        <f t="shared" si="4"/>
        <v>0</v>
      </c>
      <c r="K24" s="297" t="s">
        <v>352</v>
      </c>
      <c r="L24" s="297" t="s">
        <v>353</v>
      </c>
      <c r="M24" s="579"/>
      <c r="N24" s="495"/>
    </row>
    <row r="25" spans="1:14" s="568" customFormat="1">
      <c r="A25" s="536" t="s">
        <v>354</v>
      </c>
      <c r="B25" s="537" t="s">
        <v>355</v>
      </c>
      <c r="C25" s="538"/>
      <c r="D25" s="539"/>
      <c r="E25" s="545"/>
      <c r="F25" s="290"/>
      <c r="G25" s="611"/>
      <c r="H25" s="290"/>
      <c r="I25" s="613"/>
      <c r="J25" s="302"/>
      <c r="K25" s="297"/>
      <c r="L25" s="297"/>
      <c r="M25" s="579"/>
      <c r="N25" s="495"/>
    </row>
    <row r="26" spans="1:14" s="568" customFormat="1" ht="130.05000000000001" customHeight="1">
      <c r="A26" s="536" t="s">
        <v>356</v>
      </c>
      <c r="B26" s="537" t="s">
        <v>357</v>
      </c>
      <c r="C26" s="538" t="s">
        <v>140</v>
      </c>
      <c r="D26" s="539">
        <v>340</v>
      </c>
      <c r="E26" s="545">
        <v>143.30000000000001</v>
      </c>
      <c r="F26" s="290">
        <f t="shared" ref="F26:F28" si="5">D26*E26</f>
        <v>48722</v>
      </c>
      <c r="G26" s="611">
        <v>95.97</v>
      </c>
      <c r="H26" s="290">
        <f t="shared" ref="H26:H28" si="6">G26*D26</f>
        <v>32630</v>
      </c>
      <c r="I26" s="613"/>
      <c r="J26" s="302">
        <f t="shared" ref="J26:J28" si="7">ROUND(I26*D26,2)</f>
        <v>0</v>
      </c>
      <c r="K26" s="297" t="s">
        <v>358</v>
      </c>
      <c r="L26" s="297" t="s">
        <v>359</v>
      </c>
      <c r="M26" s="579"/>
      <c r="N26" s="495"/>
    </row>
    <row r="27" spans="1:14" s="568" customFormat="1" ht="118.05" customHeight="1">
      <c r="A27" s="536" t="s">
        <v>360</v>
      </c>
      <c r="B27" s="537" t="s">
        <v>361</v>
      </c>
      <c r="C27" s="538" t="s">
        <v>140</v>
      </c>
      <c r="D27" s="539">
        <v>97.5</v>
      </c>
      <c r="E27" s="545">
        <v>426.09</v>
      </c>
      <c r="F27" s="290">
        <f t="shared" si="5"/>
        <v>41544</v>
      </c>
      <c r="G27" s="611">
        <v>130</v>
      </c>
      <c r="H27" s="290">
        <f t="shared" si="6"/>
        <v>12675</v>
      </c>
      <c r="I27" s="613"/>
      <c r="J27" s="302">
        <f t="shared" si="7"/>
        <v>0</v>
      </c>
      <c r="K27" s="297" t="s">
        <v>362</v>
      </c>
      <c r="L27" s="297" t="s">
        <v>363</v>
      </c>
      <c r="M27" s="534"/>
      <c r="N27" s="495"/>
    </row>
    <row r="28" spans="1:14" s="568" customFormat="1" ht="106.05" customHeight="1">
      <c r="A28" s="536" t="s">
        <v>364</v>
      </c>
      <c r="B28" s="537" t="s">
        <v>365</v>
      </c>
      <c r="C28" s="538" t="s">
        <v>140</v>
      </c>
      <c r="D28" s="539">
        <v>40</v>
      </c>
      <c r="E28" s="545">
        <v>158.07</v>
      </c>
      <c r="F28" s="290">
        <f t="shared" si="5"/>
        <v>6323</v>
      </c>
      <c r="G28" s="611">
        <v>135.27000000000001</v>
      </c>
      <c r="H28" s="290">
        <f t="shared" si="6"/>
        <v>5411</v>
      </c>
      <c r="I28" s="613"/>
      <c r="J28" s="302">
        <f t="shared" si="7"/>
        <v>0</v>
      </c>
      <c r="K28" s="297" t="s">
        <v>366</v>
      </c>
      <c r="L28" s="297" t="s">
        <v>367</v>
      </c>
      <c r="M28" s="579"/>
      <c r="N28" s="495"/>
    </row>
    <row r="29" spans="1:14" s="568" customFormat="1">
      <c r="A29" s="536" t="s">
        <v>368</v>
      </c>
      <c r="B29" s="537" t="s">
        <v>369</v>
      </c>
      <c r="C29" s="538"/>
      <c r="D29" s="539"/>
      <c r="E29" s="545"/>
      <c r="F29" s="290"/>
      <c r="G29" s="611"/>
      <c r="H29" s="290"/>
      <c r="I29" s="613"/>
      <c r="J29" s="302"/>
      <c r="K29" s="297"/>
      <c r="L29" s="297"/>
      <c r="M29" s="534"/>
      <c r="N29" s="495"/>
    </row>
    <row r="30" spans="1:14" s="568" customFormat="1" ht="115.05" customHeight="1">
      <c r="A30" s="536" t="s">
        <v>370</v>
      </c>
      <c r="B30" s="537" t="s">
        <v>371</v>
      </c>
      <c r="C30" s="538" t="s">
        <v>95</v>
      </c>
      <c r="D30" s="539">
        <v>2.3570000000000002</v>
      </c>
      <c r="E30" s="545">
        <v>1753.3</v>
      </c>
      <c r="F30" s="290">
        <f>D30*E30</f>
        <v>4133</v>
      </c>
      <c r="G30" s="611">
        <v>1210</v>
      </c>
      <c r="H30" s="290">
        <f>G30*D30</f>
        <v>2852</v>
      </c>
      <c r="I30" s="613"/>
      <c r="J30" s="302">
        <f t="shared" ref="J30:J33" si="8">ROUND(I30*D30,2)</f>
        <v>0</v>
      </c>
      <c r="K30" s="297" t="s">
        <v>201</v>
      </c>
      <c r="L30" s="297" t="s">
        <v>372</v>
      </c>
      <c r="M30" s="579"/>
      <c r="N30" s="495"/>
    </row>
    <row r="31" spans="1:14" s="568" customFormat="1">
      <c r="A31" s="536" t="s">
        <v>373</v>
      </c>
      <c r="B31" s="537" t="s">
        <v>374</v>
      </c>
      <c r="C31" s="538"/>
      <c r="D31" s="539"/>
      <c r="E31" s="545"/>
      <c r="F31" s="290"/>
      <c r="G31" s="615"/>
      <c r="H31" s="290"/>
      <c r="I31" s="613"/>
      <c r="J31" s="302"/>
      <c r="K31" s="297"/>
      <c r="L31" s="297"/>
      <c r="M31" s="534"/>
      <c r="N31" s="495"/>
    </row>
    <row r="32" spans="1:14" s="568" customFormat="1" ht="139.94999999999999" customHeight="1">
      <c r="A32" s="536" t="s">
        <v>375</v>
      </c>
      <c r="B32" s="537" t="s">
        <v>376</v>
      </c>
      <c r="C32" s="538" t="s">
        <v>113</v>
      </c>
      <c r="D32" s="539">
        <v>13.17</v>
      </c>
      <c r="E32" s="545">
        <v>458.06</v>
      </c>
      <c r="F32" s="290">
        <f t="shared" ref="F32:F33" si="9">D32*E32</f>
        <v>6033</v>
      </c>
      <c r="G32" s="611">
        <v>249.7</v>
      </c>
      <c r="H32" s="290">
        <f t="shared" ref="H32:H33" si="10">G32*D32</f>
        <v>3289</v>
      </c>
      <c r="I32" s="613"/>
      <c r="J32" s="302">
        <f t="shared" si="8"/>
        <v>0</v>
      </c>
      <c r="K32" s="297" t="s">
        <v>377</v>
      </c>
      <c r="L32" s="297" t="s">
        <v>378</v>
      </c>
      <c r="M32" s="579"/>
      <c r="N32" s="495"/>
    </row>
    <row r="33" spans="1:14" s="568" customFormat="1" ht="90" customHeight="1">
      <c r="A33" s="536" t="s">
        <v>379</v>
      </c>
      <c r="B33" s="537" t="s">
        <v>248</v>
      </c>
      <c r="C33" s="538" t="s">
        <v>95</v>
      </c>
      <c r="D33" s="539">
        <v>9.07</v>
      </c>
      <c r="E33" s="545">
        <v>57.54</v>
      </c>
      <c r="F33" s="290">
        <f t="shared" si="9"/>
        <v>522</v>
      </c>
      <c r="G33" s="615">
        <v>20</v>
      </c>
      <c r="H33" s="290">
        <f t="shared" si="10"/>
        <v>181</v>
      </c>
      <c r="I33" s="613"/>
      <c r="J33" s="302">
        <f t="shared" si="8"/>
        <v>0</v>
      </c>
      <c r="K33" s="297" t="s">
        <v>103</v>
      </c>
      <c r="L33" s="297" t="s">
        <v>104</v>
      </c>
      <c r="M33" s="534"/>
      <c r="N33" s="495"/>
    </row>
    <row r="34" spans="1:14" s="568" customFormat="1">
      <c r="A34" s="536">
        <v>503</v>
      </c>
      <c r="B34" s="537" t="s">
        <v>134</v>
      </c>
      <c r="C34" s="538"/>
      <c r="D34" s="539"/>
      <c r="E34" s="545"/>
      <c r="F34" s="290"/>
      <c r="G34" s="615"/>
      <c r="H34" s="290"/>
      <c r="I34" s="613"/>
      <c r="J34" s="302"/>
      <c r="K34" s="297"/>
      <c r="L34" s="297"/>
      <c r="M34" s="534"/>
      <c r="N34" s="495"/>
    </row>
    <row r="35" spans="1:14" s="568" customFormat="1">
      <c r="A35" s="536" t="s">
        <v>149</v>
      </c>
      <c r="B35" s="537" t="s">
        <v>150</v>
      </c>
      <c r="C35" s="538"/>
      <c r="D35" s="539"/>
      <c r="E35" s="545"/>
      <c r="F35" s="290"/>
      <c r="G35" s="615"/>
      <c r="H35" s="290"/>
      <c r="I35" s="613"/>
      <c r="J35" s="302"/>
      <c r="K35" s="297"/>
      <c r="L35" s="297"/>
      <c r="M35" s="534"/>
      <c r="N35" s="495"/>
    </row>
    <row r="36" spans="1:14" s="568" customFormat="1">
      <c r="A36" s="536" t="s">
        <v>192</v>
      </c>
      <c r="B36" s="537" t="s">
        <v>193</v>
      </c>
      <c r="C36" s="538"/>
      <c r="D36" s="539"/>
      <c r="E36" s="545"/>
      <c r="F36" s="290"/>
      <c r="G36" s="615"/>
      <c r="H36" s="290"/>
      <c r="I36" s="613"/>
      <c r="J36" s="302"/>
      <c r="K36" s="297"/>
      <c r="L36" s="297"/>
      <c r="M36" s="534"/>
      <c r="N36" s="495"/>
    </row>
    <row r="37" spans="1:14" s="568" customFormat="1" ht="106.05" customHeight="1">
      <c r="A37" s="536" t="s">
        <v>380</v>
      </c>
      <c r="B37" s="537" t="s">
        <v>381</v>
      </c>
      <c r="C37" s="538" t="s">
        <v>140</v>
      </c>
      <c r="D37" s="539">
        <v>11717.97</v>
      </c>
      <c r="E37" s="545">
        <v>106.6</v>
      </c>
      <c r="F37" s="290">
        <f t="shared" ref="F37:F39" si="11">D37*E37</f>
        <v>1249136</v>
      </c>
      <c r="G37" s="615">
        <v>61.75</v>
      </c>
      <c r="H37" s="290">
        <f t="shared" ref="H37:H39" si="12">G37*D37</f>
        <v>723585</v>
      </c>
      <c r="I37" s="613"/>
      <c r="J37" s="302">
        <f t="shared" ref="J37:J39" si="13">ROUND(I37*D37,2)</f>
        <v>0</v>
      </c>
      <c r="K37" s="297" t="s">
        <v>196</v>
      </c>
      <c r="L37" s="297" t="s">
        <v>1522</v>
      </c>
      <c r="M37" s="534"/>
      <c r="N37" s="495"/>
    </row>
    <row r="38" spans="1:14" s="568" customFormat="1" ht="106.05" customHeight="1">
      <c r="A38" s="536" t="s">
        <v>382</v>
      </c>
      <c r="B38" s="537" t="s">
        <v>383</v>
      </c>
      <c r="C38" s="538" t="s">
        <v>140</v>
      </c>
      <c r="D38" s="539">
        <v>2612.16</v>
      </c>
      <c r="E38" s="545">
        <v>137.97</v>
      </c>
      <c r="F38" s="290">
        <f t="shared" si="11"/>
        <v>360400</v>
      </c>
      <c r="G38" s="615">
        <v>68.400000000000006</v>
      </c>
      <c r="H38" s="290">
        <f t="shared" si="12"/>
        <v>178672</v>
      </c>
      <c r="I38" s="613"/>
      <c r="J38" s="302">
        <f t="shared" si="13"/>
        <v>0</v>
      </c>
      <c r="K38" s="297" t="s">
        <v>196</v>
      </c>
      <c r="L38" s="297" t="s">
        <v>1523</v>
      </c>
      <c r="M38" s="534"/>
      <c r="N38" s="495"/>
    </row>
    <row r="39" spans="1:14" s="568" customFormat="1" ht="106.05" customHeight="1">
      <c r="A39" s="536" t="s">
        <v>384</v>
      </c>
      <c r="B39" s="537" t="s">
        <v>385</v>
      </c>
      <c r="C39" s="538" t="s">
        <v>140</v>
      </c>
      <c r="D39" s="539">
        <v>2146.8000000000002</v>
      </c>
      <c r="E39" s="545">
        <v>167</v>
      </c>
      <c r="F39" s="290">
        <f t="shared" si="11"/>
        <v>358516</v>
      </c>
      <c r="G39" s="615">
        <v>71.25</v>
      </c>
      <c r="H39" s="290">
        <f t="shared" si="12"/>
        <v>152960</v>
      </c>
      <c r="I39" s="613"/>
      <c r="J39" s="302">
        <f t="shared" si="13"/>
        <v>0</v>
      </c>
      <c r="K39" s="297" t="s">
        <v>196</v>
      </c>
      <c r="L39" s="297" t="s">
        <v>1524</v>
      </c>
      <c r="M39" s="534"/>
      <c r="N39" s="495"/>
    </row>
    <row r="40" spans="1:14" s="568" customFormat="1">
      <c r="A40" s="536" t="s">
        <v>202</v>
      </c>
      <c r="B40" s="537" t="s">
        <v>203</v>
      </c>
      <c r="C40" s="538"/>
      <c r="D40" s="539"/>
      <c r="E40" s="545"/>
      <c r="F40" s="290"/>
      <c r="G40" s="615"/>
      <c r="H40" s="290"/>
      <c r="I40" s="613"/>
      <c r="J40" s="302"/>
      <c r="K40" s="297"/>
      <c r="L40" s="297"/>
      <c r="M40" s="534"/>
      <c r="N40" s="495"/>
    </row>
    <row r="41" spans="1:14" s="568" customFormat="1" ht="79.95" customHeight="1">
      <c r="A41" s="536" t="s">
        <v>386</v>
      </c>
      <c r="B41" s="537" t="s">
        <v>387</v>
      </c>
      <c r="C41" s="538" t="s">
        <v>113</v>
      </c>
      <c r="D41" s="539">
        <v>170.26</v>
      </c>
      <c r="E41" s="545">
        <v>129.26</v>
      </c>
      <c r="F41" s="290">
        <f>D41*E41</f>
        <v>22008</v>
      </c>
      <c r="G41" s="611">
        <v>91.87</v>
      </c>
      <c r="H41" s="290">
        <f>G41*D41</f>
        <v>15642</v>
      </c>
      <c r="I41" s="613"/>
      <c r="J41" s="302">
        <f>ROUND(I41*D41,2)</f>
        <v>0</v>
      </c>
      <c r="K41" s="297" t="s">
        <v>388</v>
      </c>
      <c r="L41" s="297" t="s">
        <v>389</v>
      </c>
      <c r="M41" s="534"/>
      <c r="N41" s="495"/>
    </row>
    <row r="42" spans="1:14" s="576" customFormat="1" ht="23.1" customHeight="1">
      <c r="A42" s="583" t="s">
        <v>260</v>
      </c>
      <c r="B42" s="584"/>
      <c r="C42" s="530"/>
      <c r="D42" s="531"/>
      <c r="E42" s="598"/>
      <c r="F42" s="348">
        <f t="shared" ref="F42:J42" si="14">SUM(F6:F41)</f>
        <v>2436239</v>
      </c>
      <c r="G42" s="585"/>
      <c r="H42" s="348">
        <f t="shared" si="14"/>
        <v>1310235</v>
      </c>
      <c r="I42" s="614"/>
      <c r="J42" s="348">
        <f t="shared" si="14"/>
        <v>24094</v>
      </c>
      <c r="K42" s="349"/>
      <c r="L42" s="349"/>
      <c r="M42" s="580"/>
      <c r="N42" s="525"/>
    </row>
  </sheetData>
  <sheetProtection algorithmName="SHA-512" hashValue="2OoA7bg1aRV2CU8oY2asCOS8QNYFRHubf+1a/mhx9/m3woevlkLUzY2O7ntCbrU94o1/ShZRXw4pqGicxxgVzQ==" saltValue="e0yn5eT3WkEXP+CZonzd/A==" spinCount="100000" sheet="1" objects="1" scenarios="1"/>
  <mergeCells count="16">
    <mergeCell ref="A1:M1"/>
    <mergeCell ref="A2:H2"/>
    <mergeCell ref="A42:B42"/>
    <mergeCell ref="A4:A5"/>
    <mergeCell ref="B4:B5"/>
    <mergeCell ref="C4:C5"/>
    <mergeCell ref="D4:D5"/>
    <mergeCell ref="E4:E5"/>
    <mergeCell ref="F4:F5"/>
    <mergeCell ref="G4:G5"/>
    <mergeCell ref="H4:H5"/>
    <mergeCell ref="I4:I5"/>
    <mergeCell ref="J4:J5"/>
    <mergeCell ref="K4:K5"/>
    <mergeCell ref="L4:L5"/>
    <mergeCell ref="M4:M5"/>
  </mergeCells>
  <phoneticPr fontId="98" type="noConversion"/>
  <conditionalFormatting sqref="M3 O2:IO42 C6:C42 A7:B17 N2:N1048576">
    <cfRule type="cellIs" dxfId="39" priority="8" operator="equal">
      <formula>0</formula>
    </cfRule>
  </conditionalFormatting>
  <conditionalFormatting sqref="M19">
    <cfRule type="cellIs" dxfId="38" priority="16" operator="equal">
      <formula>0</formula>
    </cfRule>
  </conditionalFormatting>
  <conditionalFormatting sqref="M27">
    <cfRule type="cellIs" dxfId="37" priority="15" operator="equal">
      <formula>0</formula>
    </cfRule>
  </conditionalFormatting>
  <conditionalFormatting sqref="M29">
    <cfRule type="cellIs" dxfId="36" priority="14" operator="equal">
      <formula>0</formula>
    </cfRule>
  </conditionalFormatting>
  <conditionalFormatting sqref="M31">
    <cfRule type="cellIs" dxfId="35" priority="13" operator="equal">
      <formula>0</formula>
    </cfRule>
  </conditionalFormatting>
  <conditionalFormatting sqref="M37:M39">
    <cfRule type="cellIs" dxfId="34" priority="11" operator="equal">
      <formula>0</formula>
    </cfRule>
  </conditionalFormatting>
  <conditionalFormatting sqref="A3:L3 A4:D4 A5:C5 A2 I2:L2">
    <cfRule type="cellIs" dxfId="33" priority="19" operator="equal">
      <formula>0</formula>
    </cfRule>
  </conditionalFormatting>
  <conditionalFormatting sqref="M2 M4">
    <cfRule type="cellIs" dxfId="32" priority="18" operator="equal">
      <formula>0</formula>
    </cfRule>
  </conditionalFormatting>
  <conditionalFormatting sqref="M33:M36 M40:M41">
    <cfRule type="cellIs" dxfId="31" priority="12" operator="equal">
      <formula>0</formula>
    </cfRule>
  </conditionalFormatting>
  <conditionalFormatting sqref="N1:IF1">
    <cfRule type="cellIs" dxfId="30" priority="1" operator="equal">
      <formula>0</formula>
    </cfRule>
  </conditionalFormatting>
  <conditionalFormatting sqref="A1">
    <cfRule type="cellIs" dxfId="29" priority="2" operator="equal">
      <formula>0</formula>
    </cfRule>
  </conditionalFormatting>
  <printOptions horizontalCentered="1"/>
  <pageMargins left="0.31496062992125984" right="0.31496062992125984" top="0.74803149606299213" bottom="0.74803149606299213" header="0.31496062992125984" footer="0.31496062992125984"/>
  <pageSetup paperSize="9" scale="64" fitToHeight="0" orientation="landscape" r:id="rId1"/>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42"/>
  <sheetViews>
    <sheetView zoomScale="55" zoomScaleNormal="55" workbookViewId="0">
      <selection activeCell="I9" sqref="I9"/>
    </sheetView>
  </sheetViews>
  <sheetFormatPr defaultColWidth="9.109375" defaultRowHeight="12"/>
  <cols>
    <col min="1" max="1" width="20.21875" style="498" customWidth="1"/>
    <col min="2" max="2" width="27" style="498" customWidth="1"/>
    <col min="3" max="3" width="5.5546875" style="566" customWidth="1"/>
    <col min="4" max="4" width="9.5546875" style="577" customWidth="1"/>
    <col min="5" max="5" width="9.6640625" style="498" hidden="1" customWidth="1"/>
    <col min="6" max="6" width="14.5546875" style="498" hidden="1" customWidth="1"/>
    <col min="7" max="7" width="11.109375" style="498" customWidth="1"/>
    <col min="8" max="8" width="15.77734375" style="498" customWidth="1"/>
    <col min="9" max="9" width="14.5546875" style="498" customWidth="1"/>
    <col min="10" max="10" width="15.77734375" style="498" customWidth="1"/>
    <col min="11" max="11" width="24.6640625" style="565" customWidth="1"/>
    <col min="12" max="12" width="61" style="565" customWidth="1"/>
    <col min="13" max="13" width="19.77734375" style="566" customWidth="1"/>
    <col min="14" max="14" width="23.33203125" style="566" customWidth="1"/>
    <col min="15" max="15" width="9.109375" style="498"/>
    <col min="16" max="17" width="11.33203125" style="498" customWidth="1"/>
    <col min="18" max="18" width="25" style="498" customWidth="1"/>
    <col min="19" max="16384" width="9.109375" style="498"/>
  </cols>
  <sheetData>
    <row r="1" spans="1:14" s="495" customFormat="1" ht="55.8" customHeight="1">
      <c r="A1" s="499" t="s">
        <v>1527</v>
      </c>
      <c r="B1" s="499"/>
      <c r="C1" s="499"/>
      <c r="D1" s="499"/>
      <c r="E1" s="499"/>
      <c r="F1" s="499"/>
      <c r="G1" s="499"/>
      <c r="H1" s="499"/>
      <c r="I1" s="549"/>
      <c r="J1" s="499"/>
      <c r="K1" s="499"/>
      <c r="L1" s="499"/>
      <c r="M1" s="499"/>
    </row>
    <row r="2" spans="1:14" ht="18.75" customHeight="1">
      <c r="A2" s="550" t="s">
        <v>390</v>
      </c>
      <c r="B2" s="550"/>
      <c r="C2" s="550"/>
      <c r="D2" s="550"/>
      <c r="E2" s="550"/>
      <c r="F2" s="550"/>
      <c r="G2" s="550"/>
      <c r="H2" s="550"/>
      <c r="I2" s="588"/>
      <c r="J2" s="588"/>
      <c r="K2" s="589"/>
      <c r="L2" s="589"/>
      <c r="M2" s="590"/>
    </row>
    <row r="3" spans="1:14" ht="18.75" customHeight="1">
      <c r="A3" s="591" t="s">
        <v>55</v>
      </c>
      <c r="B3" s="591"/>
      <c r="C3" s="592"/>
      <c r="D3" s="593"/>
      <c r="E3" s="591"/>
      <c r="F3" s="594"/>
      <c r="G3" s="594"/>
      <c r="H3" s="594"/>
      <c r="I3" s="594"/>
      <c r="J3" s="594"/>
      <c r="K3" s="591"/>
      <c r="L3" s="591"/>
      <c r="M3" s="503" t="s">
        <v>39</v>
      </c>
      <c r="N3" s="287"/>
    </row>
    <row r="4" spans="1:14" ht="20.100000000000001" customHeight="1">
      <c r="A4" s="378" t="s">
        <v>56</v>
      </c>
      <c r="B4" s="380" t="s">
        <v>57</v>
      </c>
      <c r="C4" s="380" t="s">
        <v>58</v>
      </c>
      <c r="D4" s="557" t="s">
        <v>59</v>
      </c>
      <c r="E4" s="558" t="s">
        <v>60</v>
      </c>
      <c r="F4" s="380" t="s">
        <v>61</v>
      </c>
      <c r="G4" s="558" t="s">
        <v>1528</v>
      </c>
      <c r="H4" s="371" t="s">
        <v>1529</v>
      </c>
      <c r="I4" s="375" t="s">
        <v>1530</v>
      </c>
      <c r="J4" s="377" t="s">
        <v>1531</v>
      </c>
      <c r="K4" s="377" t="s">
        <v>62</v>
      </c>
      <c r="L4" s="377" t="s">
        <v>63</v>
      </c>
      <c r="M4" s="600" t="s">
        <v>12</v>
      </c>
      <c r="N4" s="292"/>
    </row>
    <row r="5" spans="1:14" ht="20.100000000000001" customHeight="1">
      <c r="A5" s="379"/>
      <c r="B5" s="381"/>
      <c r="C5" s="381"/>
      <c r="D5" s="560"/>
      <c r="E5" s="561"/>
      <c r="F5" s="381"/>
      <c r="G5" s="561"/>
      <c r="H5" s="372"/>
      <c r="I5" s="376"/>
      <c r="J5" s="376"/>
      <c r="K5" s="376"/>
      <c r="L5" s="376"/>
      <c r="M5" s="601"/>
      <c r="N5" s="292"/>
    </row>
    <row r="6" spans="1:14" s="568" customFormat="1">
      <c r="A6" s="541">
        <v>100</v>
      </c>
      <c r="B6" s="542" t="s">
        <v>64</v>
      </c>
      <c r="C6" s="288"/>
      <c r="D6" s="543"/>
      <c r="E6" s="582"/>
      <c r="F6" s="288"/>
      <c r="G6" s="582"/>
      <c r="H6" s="288"/>
      <c r="I6" s="293"/>
      <c r="J6" s="293"/>
      <c r="K6" s="294"/>
      <c r="L6" s="294"/>
      <c r="M6" s="579"/>
      <c r="N6" s="292"/>
    </row>
    <row r="7" spans="1:14" s="568" customFormat="1">
      <c r="A7" s="536">
        <v>102</v>
      </c>
      <c r="B7" s="537" t="s">
        <v>66</v>
      </c>
      <c r="C7" s="538"/>
      <c r="D7" s="618"/>
      <c r="E7" s="545"/>
      <c r="F7" s="288"/>
      <c r="G7" s="582"/>
      <c r="H7" s="288"/>
      <c r="I7" s="293"/>
      <c r="J7" s="293"/>
      <c r="K7" s="294"/>
      <c r="L7" s="294"/>
      <c r="M7" s="579"/>
      <c r="N7" s="292"/>
    </row>
    <row r="8" spans="1:14" s="568" customFormat="1" ht="70.05" customHeight="1">
      <c r="A8" s="536" t="s">
        <v>67</v>
      </c>
      <c r="B8" s="537" t="s">
        <v>68</v>
      </c>
      <c r="C8" s="538" t="s">
        <v>65</v>
      </c>
      <c r="D8" s="618">
        <v>1</v>
      </c>
      <c r="E8" s="545">
        <v>4226.8999999999996</v>
      </c>
      <c r="F8" s="290">
        <f>D8*E8</f>
        <v>4227</v>
      </c>
      <c r="G8" s="596">
        <v>1736</v>
      </c>
      <c r="H8" s="290">
        <f t="shared" ref="H8:H9" si="0">G8*D8</f>
        <v>1736</v>
      </c>
      <c r="I8" s="302">
        <v>1736</v>
      </c>
      <c r="J8" s="302">
        <f t="shared" ref="J8:J11" si="1">ROUND(I8*D8,2)</f>
        <v>1736</v>
      </c>
      <c r="K8" s="296" t="s">
        <v>69</v>
      </c>
      <c r="L8" s="297" t="s">
        <v>70</v>
      </c>
      <c r="M8" s="578"/>
      <c r="N8" s="292"/>
    </row>
    <row r="9" spans="1:14" s="568" customFormat="1" ht="124.95" customHeight="1">
      <c r="A9" s="536" t="s">
        <v>71</v>
      </c>
      <c r="B9" s="537" t="s">
        <v>72</v>
      </c>
      <c r="C9" s="538" t="s">
        <v>65</v>
      </c>
      <c r="D9" s="618">
        <v>1</v>
      </c>
      <c r="E9" s="545">
        <v>26117</v>
      </c>
      <c r="F9" s="290">
        <f>D9*E9</f>
        <v>26117</v>
      </c>
      <c r="G9" s="596">
        <v>8034</v>
      </c>
      <c r="H9" s="290">
        <f t="shared" si="0"/>
        <v>8034</v>
      </c>
      <c r="I9" s="302">
        <v>8034</v>
      </c>
      <c r="J9" s="302">
        <f t="shared" si="1"/>
        <v>8034</v>
      </c>
      <c r="K9" s="296" t="s">
        <v>1536</v>
      </c>
      <c r="L9" s="297" t="s">
        <v>73</v>
      </c>
      <c r="M9" s="578"/>
      <c r="N9" s="292"/>
    </row>
    <row r="10" spans="1:14" s="568" customFormat="1">
      <c r="A10" s="536" t="s">
        <v>74</v>
      </c>
      <c r="B10" s="537" t="s">
        <v>75</v>
      </c>
      <c r="C10" s="538"/>
      <c r="D10" s="618"/>
      <c r="E10" s="545"/>
      <c r="F10" s="288"/>
      <c r="G10" s="582"/>
      <c r="H10" s="288"/>
      <c r="I10" s="569"/>
      <c r="J10" s="301"/>
      <c r="K10" s="294"/>
      <c r="L10" s="294"/>
      <c r="M10" s="579"/>
      <c r="N10" s="292"/>
    </row>
    <row r="11" spans="1:14" s="568" customFormat="1" ht="84">
      <c r="A11" s="536" t="s">
        <v>76</v>
      </c>
      <c r="B11" s="537" t="s">
        <v>77</v>
      </c>
      <c r="C11" s="538" t="s">
        <v>78</v>
      </c>
      <c r="D11" s="618">
        <v>154</v>
      </c>
      <c r="E11" s="545">
        <v>937.44</v>
      </c>
      <c r="F11" s="290">
        <f>D11*E11</f>
        <v>144366</v>
      </c>
      <c r="G11" s="547">
        <v>530</v>
      </c>
      <c r="H11" s="290">
        <f>G11*D11</f>
        <v>81620</v>
      </c>
      <c r="I11" s="570"/>
      <c r="J11" s="302">
        <f t="shared" si="1"/>
        <v>0</v>
      </c>
      <c r="K11" s="297" t="s">
        <v>79</v>
      </c>
      <c r="L11" s="296" t="s">
        <v>80</v>
      </c>
      <c r="M11" s="579"/>
      <c r="N11" s="292"/>
    </row>
    <row r="12" spans="1:14" s="568" customFormat="1">
      <c r="A12" s="536">
        <v>104</v>
      </c>
      <c r="B12" s="537" t="s">
        <v>81</v>
      </c>
      <c r="C12" s="538"/>
      <c r="D12" s="618"/>
      <c r="E12" s="545"/>
      <c r="F12" s="288"/>
      <c r="G12" s="582"/>
      <c r="H12" s="288"/>
      <c r="I12" s="569"/>
      <c r="J12" s="301"/>
      <c r="K12" s="294"/>
      <c r="L12" s="294"/>
      <c r="M12" s="579"/>
      <c r="N12" s="292"/>
    </row>
    <row r="13" spans="1:14" s="568" customFormat="1" ht="24">
      <c r="A13" s="536" t="s">
        <v>82</v>
      </c>
      <c r="B13" s="537" t="s">
        <v>83</v>
      </c>
      <c r="C13" s="538" t="s">
        <v>65</v>
      </c>
      <c r="D13" s="618">
        <v>1</v>
      </c>
      <c r="E13" s="545">
        <v>29490</v>
      </c>
      <c r="F13" s="290">
        <f>D13*E13</f>
        <v>29490</v>
      </c>
      <c r="G13" s="547">
        <v>14745</v>
      </c>
      <c r="H13" s="290">
        <f>G13*D13</f>
        <v>14745</v>
      </c>
      <c r="I13" s="570"/>
      <c r="J13" s="302">
        <f t="shared" ref="J13:J17" si="2">ROUND(I13*D13,2)</f>
        <v>0</v>
      </c>
      <c r="K13" s="296" t="s">
        <v>69</v>
      </c>
      <c r="L13" s="296" t="s">
        <v>84</v>
      </c>
      <c r="M13" s="579"/>
      <c r="N13" s="292"/>
    </row>
    <row r="14" spans="1:14" s="568" customFormat="1">
      <c r="A14" s="536">
        <v>109</v>
      </c>
      <c r="B14" s="537" t="s">
        <v>85</v>
      </c>
      <c r="C14" s="538"/>
      <c r="D14" s="618"/>
      <c r="E14" s="545"/>
      <c r="F14" s="288"/>
      <c r="G14" s="582"/>
      <c r="H14" s="288"/>
      <c r="I14" s="569"/>
      <c r="J14" s="301"/>
      <c r="K14" s="296"/>
      <c r="L14" s="294"/>
      <c r="M14" s="579"/>
      <c r="N14" s="292"/>
    </row>
    <row r="15" spans="1:14" s="568" customFormat="1" ht="72">
      <c r="A15" s="536" t="s">
        <v>86</v>
      </c>
      <c r="B15" s="537" t="s">
        <v>85</v>
      </c>
      <c r="C15" s="538" t="s">
        <v>65</v>
      </c>
      <c r="D15" s="618">
        <v>1</v>
      </c>
      <c r="E15" s="545">
        <v>8453.7999999999993</v>
      </c>
      <c r="F15" s="290">
        <f>D15*E15</f>
        <v>8454</v>
      </c>
      <c r="G15" s="547">
        <v>3472</v>
      </c>
      <c r="H15" s="290">
        <f>G15*D15</f>
        <v>3472</v>
      </c>
      <c r="I15" s="570"/>
      <c r="J15" s="302">
        <f t="shared" si="2"/>
        <v>0</v>
      </c>
      <c r="K15" s="296" t="s">
        <v>69</v>
      </c>
      <c r="L15" s="296" t="s">
        <v>1540</v>
      </c>
      <c r="M15" s="579"/>
      <c r="N15" s="292"/>
    </row>
    <row r="16" spans="1:14" s="568" customFormat="1">
      <c r="A16" s="536">
        <v>110</v>
      </c>
      <c r="B16" s="537" t="s">
        <v>19</v>
      </c>
      <c r="C16" s="538"/>
      <c r="D16" s="618"/>
      <c r="E16" s="545"/>
      <c r="F16" s="288"/>
      <c r="G16" s="582"/>
      <c r="H16" s="288"/>
      <c r="I16" s="569"/>
      <c r="J16" s="301"/>
      <c r="K16" s="294"/>
      <c r="L16" s="294"/>
      <c r="M16" s="579"/>
      <c r="N16" s="292"/>
    </row>
    <row r="17" spans="1:14" s="568" customFormat="1" ht="48">
      <c r="A17" s="536" t="s">
        <v>337</v>
      </c>
      <c r="B17" s="537" t="s">
        <v>338</v>
      </c>
      <c r="C17" s="538" t="s">
        <v>65</v>
      </c>
      <c r="D17" s="618">
        <v>1</v>
      </c>
      <c r="E17" s="545">
        <v>40378.69</v>
      </c>
      <c r="F17" s="290">
        <f>D17*E17</f>
        <v>40379</v>
      </c>
      <c r="G17" s="547">
        <v>28265</v>
      </c>
      <c r="H17" s="290">
        <f>G17*D17</f>
        <v>28265</v>
      </c>
      <c r="I17" s="570"/>
      <c r="J17" s="302">
        <f t="shared" si="2"/>
        <v>0</v>
      </c>
      <c r="K17" s="297" t="s">
        <v>69</v>
      </c>
      <c r="L17" s="297" t="s">
        <v>339</v>
      </c>
      <c r="M17" s="579"/>
      <c r="N17" s="292"/>
    </row>
    <row r="18" spans="1:14" s="568" customFormat="1">
      <c r="A18" s="541">
        <v>500</v>
      </c>
      <c r="B18" s="542" t="s">
        <v>24</v>
      </c>
      <c r="C18" s="538"/>
      <c r="D18" s="539"/>
      <c r="E18" s="545"/>
      <c r="F18" s="288"/>
      <c r="G18" s="581"/>
      <c r="H18" s="288"/>
      <c r="I18" s="612"/>
      <c r="J18" s="301"/>
      <c r="K18" s="294"/>
      <c r="L18" s="294"/>
      <c r="M18" s="579"/>
      <c r="N18" s="292"/>
    </row>
    <row r="19" spans="1:14" s="568" customFormat="1">
      <c r="A19" s="536">
        <v>502</v>
      </c>
      <c r="B19" s="537" t="s">
        <v>340</v>
      </c>
      <c r="C19" s="538"/>
      <c r="D19" s="618"/>
      <c r="E19" s="545"/>
      <c r="F19" s="290"/>
      <c r="G19" s="581"/>
      <c r="H19" s="290"/>
      <c r="I19" s="613"/>
      <c r="J19" s="302"/>
      <c r="K19" s="297"/>
      <c r="L19" s="297"/>
      <c r="M19" s="534"/>
      <c r="N19" s="292"/>
    </row>
    <row r="20" spans="1:14" s="568" customFormat="1">
      <c r="A20" s="536" t="s">
        <v>341</v>
      </c>
      <c r="B20" s="537" t="s">
        <v>342</v>
      </c>
      <c r="C20" s="538"/>
      <c r="D20" s="618"/>
      <c r="E20" s="545"/>
      <c r="F20" s="290"/>
      <c r="G20" s="581"/>
      <c r="H20" s="290"/>
      <c r="I20" s="613"/>
      <c r="J20" s="302"/>
      <c r="K20" s="297"/>
      <c r="L20" s="297"/>
      <c r="M20" s="579"/>
      <c r="N20" s="292"/>
    </row>
    <row r="21" spans="1:14" s="568" customFormat="1">
      <c r="A21" s="536" t="s">
        <v>343</v>
      </c>
      <c r="B21" s="537" t="s">
        <v>215</v>
      </c>
      <c r="C21" s="538"/>
      <c r="D21" s="618"/>
      <c r="E21" s="545"/>
      <c r="F21" s="288"/>
      <c r="G21" s="582"/>
      <c r="H21" s="288"/>
      <c r="I21" s="612"/>
      <c r="J21" s="301"/>
      <c r="K21" s="294"/>
      <c r="L21" s="294"/>
      <c r="M21" s="579"/>
      <c r="N21" s="292"/>
    </row>
    <row r="22" spans="1:14" s="568" customFormat="1" ht="108">
      <c r="A22" s="536" t="s">
        <v>344</v>
      </c>
      <c r="B22" s="537" t="s">
        <v>345</v>
      </c>
      <c r="C22" s="538" t="s">
        <v>95</v>
      </c>
      <c r="D22" s="618">
        <v>4.79</v>
      </c>
      <c r="E22" s="545">
        <v>1198.07</v>
      </c>
      <c r="F22" s="290">
        <f t="shared" ref="F22:F24" si="3">D22*E22</f>
        <v>5739</v>
      </c>
      <c r="G22" s="611">
        <v>927.92</v>
      </c>
      <c r="H22" s="290">
        <f t="shared" ref="H22:H24" si="4">G22*D22</f>
        <v>4445</v>
      </c>
      <c r="I22" s="613"/>
      <c r="J22" s="302">
        <f t="shared" ref="J22:J24" si="5">ROUND(I22*D22,2)</f>
        <v>0</v>
      </c>
      <c r="K22" s="297" t="s">
        <v>201</v>
      </c>
      <c r="L22" s="297" t="s">
        <v>346</v>
      </c>
      <c r="M22" s="579"/>
      <c r="N22" s="292"/>
    </row>
    <row r="23" spans="1:14" s="568" customFormat="1" ht="108">
      <c r="A23" s="536" t="s">
        <v>347</v>
      </c>
      <c r="B23" s="537" t="s">
        <v>265</v>
      </c>
      <c r="C23" s="538" t="s">
        <v>164</v>
      </c>
      <c r="D23" s="618">
        <v>579.97500000000002</v>
      </c>
      <c r="E23" s="545">
        <v>5.98</v>
      </c>
      <c r="F23" s="290">
        <f t="shared" si="3"/>
        <v>3468</v>
      </c>
      <c r="G23" s="611">
        <v>4.55</v>
      </c>
      <c r="H23" s="290">
        <f t="shared" si="4"/>
        <v>2639</v>
      </c>
      <c r="I23" s="613"/>
      <c r="J23" s="302">
        <f t="shared" si="5"/>
        <v>0</v>
      </c>
      <c r="K23" s="297" t="s">
        <v>165</v>
      </c>
      <c r="L23" s="297" t="s">
        <v>348</v>
      </c>
      <c r="M23" s="579"/>
      <c r="N23" s="292"/>
    </row>
    <row r="24" spans="1:14" s="568" customFormat="1" ht="108">
      <c r="A24" s="536" t="s">
        <v>349</v>
      </c>
      <c r="B24" s="537" t="s">
        <v>350</v>
      </c>
      <c r="C24" s="538" t="s">
        <v>351</v>
      </c>
      <c r="D24" s="618">
        <v>94</v>
      </c>
      <c r="E24" s="545">
        <v>656.92</v>
      </c>
      <c r="F24" s="290">
        <f t="shared" si="3"/>
        <v>61750</v>
      </c>
      <c r="G24" s="611">
        <v>423.08</v>
      </c>
      <c r="H24" s="290">
        <f t="shared" si="4"/>
        <v>39770</v>
      </c>
      <c r="I24" s="613"/>
      <c r="J24" s="302">
        <f t="shared" si="5"/>
        <v>0</v>
      </c>
      <c r="K24" s="297" t="s">
        <v>352</v>
      </c>
      <c r="L24" s="297" t="s">
        <v>353</v>
      </c>
      <c r="M24" s="579"/>
      <c r="N24" s="292"/>
    </row>
    <row r="25" spans="1:14" s="568" customFormat="1">
      <c r="A25" s="536" t="s">
        <v>354</v>
      </c>
      <c r="B25" s="537" t="s">
        <v>355</v>
      </c>
      <c r="C25" s="538"/>
      <c r="D25" s="618"/>
      <c r="E25" s="545"/>
      <c r="F25" s="290"/>
      <c r="G25" s="611"/>
      <c r="H25" s="290"/>
      <c r="I25" s="613"/>
      <c r="J25" s="302"/>
      <c r="K25" s="297"/>
      <c r="L25" s="297"/>
      <c r="M25" s="579"/>
      <c r="N25" s="292"/>
    </row>
    <row r="26" spans="1:14" s="568" customFormat="1" ht="120">
      <c r="A26" s="536" t="s">
        <v>356</v>
      </c>
      <c r="B26" s="537" t="s">
        <v>357</v>
      </c>
      <c r="C26" s="538" t="s">
        <v>140</v>
      </c>
      <c r="D26" s="618">
        <v>350</v>
      </c>
      <c r="E26" s="545">
        <v>156.91</v>
      </c>
      <c r="F26" s="290">
        <f t="shared" ref="F26:F28" si="6">D26*E26</f>
        <v>54919</v>
      </c>
      <c r="G26" s="611">
        <v>96.67</v>
      </c>
      <c r="H26" s="290">
        <f t="shared" ref="H26:H28" si="7">G26*D26</f>
        <v>33835</v>
      </c>
      <c r="I26" s="613"/>
      <c r="J26" s="302">
        <f t="shared" ref="J26:J28" si="8">ROUND(I26*D26,2)</f>
        <v>0</v>
      </c>
      <c r="K26" s="297" t="s">
        <v>358</v>
      </c>
      <c r="L26" s="297" t="s">
        <v>359</v>
      </c>
      <c r="M26" s="579"/>
      <c r="N26" s="292"/>
    </row>
    <row r="27" spans="1:14" s="568" customFormat="1" ht="108">
      <c r="A27" s="536" t="s">
        <v>360</v>
      </c>
      <c r="B27" s="537" t="s">
        <v>361</v>
      </c>
      <c r="C27" s="538" t="s">
        <v>140</v>
      </c>
      <c r="D27" s="618">
        <v>72</v>
      </c>
      <c r="E27" s="545">
        <v>395.24</v>
      </c>
      <c r="F27" s="290">
        <f t="shared" si="6"/>
        <v>28457</v>
      </c>
      <c r="G27" s="611">
        <v>130</v>
      </c>
      <c r="H27" s="290">
        <f t="shared" si="7"/>
        <v>9360</v>
      </c>
      <c r="I27" s="613"/>
      <c r="J27" s="302">
        <f t="shared" si="8"/>
        <v>0</v>
      </c>
      <c r="K27" s="297" t="s">
        <v>362</v>
      </c>
      <c r="L27" s="297" t="s">
        <v>363</v>
      </c>
      <c r="M27" s="534"/>
      <c r="N27" s="292"/>
    </row>
    <row r="28" spans="1:14" s="568" customFormat="1" ht="96">
      <c r="A28" s="536" t="s">
        <v>364</v>
      </c>
      <c r="B28" s="537" t="s">
        <v>365</v>
      </c>
      <c r="C28" s="538" t="s">
        <v>140</v>
      </c>
      <c r="D28" s="618">
        <v>380</v>
      </c>
      <c r="E28" s="545">
        <v>157.94</v>
      </c>
      <c r="F28" s="290">
        <f t="shared" si="6"/>
        <v>60017</v>
      </c>
      <c r="G28" s="611">
        <v>135.27000000000001</v>
      </c>
      <c r="H28" s="290">
        <f t="shared" si="7"/>
        <v>51403</v>
      </c>
      <c r="I28" s="613"/>
      <c r="J28" s="302">
        <f t="shared" si="8"/>
        <v>0</v>
      </c>
      <c r="K28" s="297" t="s">
        <v>366</v>
      </c>
      <c r="L28" s="297" t="s">
        <v>367</v>
      </c>
      <c r="M28" s="579"/>
      <c r="N28" s="292"/>
    </row>
    <row r="29" spans="1:14" s="568" customFormat="1">
      <c r="A29" s="536" t="s">
        <v>368</v>
      </c>
      <c r="B29" s="537" t="s">
        <v>369</v>
      </c>
      <c r="C29" s="538"/>
      <c r="D29" s="618"/>
      <c r="E29" s="545"/>
      <c r="F29" s="290"/>
      <c r="G29" s="619"/>
      <c r="H29" s="290"/>
      <c r="I29" s="613"/>
      <c r="J29" s="302"/>
      <c r="K29" s="297"/>
      <c r="L29" s="297"/>
      <c r="M29" s="534"/>
      <c r="N29" s="292"/>
    </row>
    <row r="30" spans="1:14" s="568" customFormat="1" ht="108">
      <c r="A30" s="536" t="s">
        <v>370</v>
      </c>
      <c r="B30" s="537" t="s">
        <v>371</v>
      </c>
      <c r="C30" s="538" t="s">
        <v>95</v>
      </c>
      <c r="D30" s="618">
        <v>1.115</v>
      </c>
      <c r="E30" s="545">
        <v>1813.48</v>
      </c>
      <c r="F30" s="290">
        <f>D30*E30</f>
        <v>2022</v>
      </c>
      <c r="G30" s="611">
        <v>1210</v>
      </c>
      <c r="H30" s="290">
        <f>G30*D30</f>
        <v>1349</v>
      </c>
      <c r="I30" s="613"/>
      <c r="J30" s="302">
        <f t="shared" ref="J30:J33" si="9">ROUND(I30*D30,2)</f>
        <v>0</v>
      </c>
      <c r="K30" s="297" t="s">
        <v>201</v>
      </c>
      <c r="L30" s="297" t="s">
        <v>372</v>
      </c>
      <c r="M30" s="579"/>
      <c r="N30" s="292"/>
    </row>
    <row r="31" spans="1:14" s="568" customFormat="1">
      <c r="A31" s="536" t="s">
        <v>373</v>
      </c>
      <c r="B31" s="537" t="s">
        <v>374</v>
      </c>
      <c r="C31" s="538"/>
      <c r="D31" s="618"/>
      <c r="E31" s="545"/>
      <c r="F31" s="290"/>
      <c r="G31" s="615"/>
      <c r="H31" s="290"/>
      <c r="I31" s="613"/>
      <c r="J31" s="302"/>
      <c r="K31" s="297"/>
      <c r="L31" s="297"/>
      <c r="M31" s="534"/>
      <c r="N31" s="292"/>
    </row>
    <row r="32" spans="1:14" s="568" customFormat="1" ht="132">
      <c r="A32" s="536" t="s">
        <v>375</v>
      </c>
      <c r="B32" s="537" t="s">
        <v>376</v>
      </c>
      <c r="C32" s="538" t="s">
        <v>113</v>
      </c>
      <c r="D32" s="618">
        <v>14.11</v>
      </c>
      <c r="E32" s="545">
        <v>455.28</v>
      </c>
      <c r="F32" s="290">
        <f t="shared" ref="F32:F33" si="10">D32*E32</f>
        <v>6424</v>
      </c>
      <c r="G32" s="611">
        <v>249.7</v>
      </c>
      <c r="H32" s="290">
        <f t="shared" ref="H32:H33" si="11">G32*D32</f>
        <v>3523</v>
      </c>
      <c r="I32" s="613"/>
      <c r="J32" s="302">
        <f t="shared" si="9"/>
        <v>0</v>
      </c>
      <c r="K32" s="297" t="s">
        <v>377</v>
      </c>
      <c r="L32" s="297" t="s">
        <v>378</v>
      </c>
      <c r="M32" s="579"/>
      <c r="N32" s="292"/>
    </row>
    <row r="33" spans="1:14" s="568" customFormat="1" ht="84">
      <c r="A33" s="536" t="s">
        <v>379</v>
      </c>
      <c r="B33" s="537" t="s">
        <v>248</v>
      </c>
      <c r="C33" s="538" t="s">
        <v>95</v>
      </c>
      <c r="D33" s="618">
        <v>7.65</v>
      </c>
      <c r="E33" s="545">
        <v>60.14</v>
      </c>
      <c r="F33" s="290">
        <f t="shared" si="10"/>
        <v>460</v>
      </c>
      <c r="G33" s="615">
        <v>20</v>
      </c>
      <c r="H33" s="290">
        <f t="shared" si="11"/>
        <v>153</v>
      </c>
      <c r="I33" s="613"/>
      <c r="J33" s="302">
        <f t="shared" si="9"/>
        <v>0</v>
      </c>
      <c r="K33" s="297" t="s">
        <v>103</v>
      </c>
      <c r="L33" s="297" t="s">
        <v>104</v>
      </c>
      <c r="M33" s="534"/>
      <c r="N33" s="292"/>
    </row>
    <row r="34" spans="1:14" s="568" customFormat="1">
      <c r="A34" s="536">
        <v>503</v>
      </c>
      <c r="B34" s="537" t="s">
        <v>134</v>
      </c>
      <c r="C34" s="538"/>
      <c r="D34" s="618"/>
      <c r="E34" s="545"/>
      <c r="F34" s="290"/>
      <c r="G34" s="615"/>
      <c r="H34" s="290"/>
      <c r="I34" s="613"/>
      <c r="J34" s="302"/>
      <c r="K34" s="297"/>
      <c r="L34" s="297"/>
      <c r="M34" s="534"/>
      <c r="N34" s="292"/>
    </row>
    <row r="35" spans="1:14" s="568" customFormat="1">
      <c r="A35" s="536" t="s">
        <v>149</v>
      </c>
      <c r="B35" s="537" t="s">
        <v>150</v>
      </c>
      <c r="C35" s="538"/>
      <c r="D35" s="618"/>
      <c r="E35" s="545"/>
      <c r="F35" s="290"/>
      <c r="G35" s="615"/>
      <c r="H35" s="290"/>
      <c r="I35" s="613"/>
      <c r="J35" s="302"/>
      <c r="K35" s="297"/>
      <c r="L35" s="297"/>
      <c r="M35" s="534"/>
      <c r="N35" s="292"/>
    </row>
    <row r="36" spans="1:14" s="568" customFormat="1">
      <c r="A36" s="536" t="s">
        <v>192</v>
      </c>
      <c r="B36" s="537" t="s">
        <v>193</v>
      </c>
      <c r="C36" s="538"/>
      <c r="D36" s="618"/>
      <c r="E36" s="545"/>
      <c r="F36" s="290"/>
      <c r="G36" s="615"/>
      <c r="H36" s="290"/>
      <c r="I36" s="613"/>
      <c r="J36" s="302"/>
      <c r="K36" s="297"/>
      <c r="L36" s="297"/>
      <c r="M36" s="534"/>
      <c r="N36" s="292"/>
    </row>
    <row r="37" spans="1:14" s="568" customFormat="1" ht="106.05" customHeight="1">
      <c r="A37" s="536" t="s">
        <v>380</v>
      </c>
      <c r="B37" s="537" t="s">
        <v>381</v>
      </c>
      <c r="C37" s="538" t="s">
        <v>140</v>
      </c>
      <c r="D37" s="618">
        <v>3410.16</v>
      </c>
      <c r="E37" s="545">
        <v>106.13</v>
      </c>
      <c r="F37" s="290">
        <f t="shared" ref="F37:F39" si="12">D37*E37</f>
        <v>361920</v>
      </c>
      <c r="G37" s="615">
        <v>61.75</v>
      </c>
      <c r="H37" s="290">
        <f t="shared" ref="H37:H39" si="13">G37*D37</f>
        <v>210577</v>
      </c>
      <c r="I37" s="613"/>
      <c r="J37" s="302">
        <f t="shared" ref="J37:J39" si="14">ROUND(I37*D37,2)</f>
        <v>0</v>
      </c>
      <c r="K37" s="297" t="s">
        <v>196</v>
      </c>
      <c r="L37" s="297" t="s">
        <v>1522</v>
      </c>
      <c r="M37" s="534"/>
      <c r="N37" s="292"/>
    </row>
    <row r="38" spans="1:14" s="568" customFormat="1" ht="106.05" customHeight="1">
      <c r="A38" s="536" t="s">
        <v>382</v>
      </c>
      <c r="B38" s="537" t="s">
        <v>383</v>
      </c>
      <c r="C38" s="538" t="s">
        <v>140</v>
      </c>
      <c r="D38" s="618">
        <v>141.96</v>
      </c>
      <c r="E38" s="545">
        <v>137.41</v>
      </c>
      <c r="F38" s="290">
        <f t="shared" si="12"/>
        <v>19507</v>
      </c>
      <c r="G38" s="615">
        <v>68.400000000000006</v>
      </c>
      <c r="H38" s="290">
        <f t="shared" si="13"/>
        <v>9710</v>
      </c>
      <c r="I38" s="613"/>
      <c r="J38" s="302">
        <f t="shared" si="14"/>
        <v>0</v>
      </c>
      <c r="K38" s="297" t="s">
        <v>196</v>
      </c>
      <c r="L38" s="297" t="s">
        <v>1523</v>
      </c>
      <c r="M38" s="534"/>
      <c r="N38" s="292"/>
    </row>
    <row r="39" spans="1:14" s="568" customFormat="1" ht="106.05" customHeight="1">
      <c r="A39" s="536" t="s">
        <v>384</v>
      </c>
      <c r="B39" s="537" t="s">
        <v>385</v>
      </c>
      <c r="C39" s="538" t="s">
        <v>140</v>
      </c>
      <c r="D39" s="618">
        <v>294.52</v>
      </c>
      <c r="E39" s="545">
        <v>166.42</v>
      </c>
      <c r="F39" s="290">
        <f t="shared" si="12"/>
        <v>49014</v>
      </c>
      <c r="G39" s="615">
        <v>71.25</v>
      </c>
      <c r="H39" s="290">
        <f t="shared" si="13"/>
        <v>20985</v>
      </c>
      <c r="I39" s="613"/>
      <c r="J39" s="302">
        <f t="shared" si="14"/>
        <v>0</v>
      </c>
      <c r="K39" s="297" t="s">
        <v>196</v>
      </c>
      <c r="L39" s="297" t="s">
        <v>1524</v>
      </c>
      <c r="M39" s="534"/>
      <c r="N39" s="292"/>
    </row>
    <row r="40" spans="1:14" s="568" customFormat="1">
      <c r="A40" s="536" t="s">
        <v>202</v>
      </c>
      <c r="B40" s="537" t="s">
        <v>203</v>
      </c>
      <c r="C40" s="538"/>
      <c r="D40" s="618"/>
      <c r="E40" s="545"/>
      <c r="F40" s="290"/>
      <c r="G40" s="615"/>
      <c r="H40" s="290"/>
      <c r="I40" s="613"/>
      <c r="J40" s="302"/>
      <c r="K40" s="297"/>
      <c r="L40" s="297"/>
      <c r="M40" s="534"/>
      <c r="N40" s="292"/>
    </row>
    <row r="41" spans="1:14" s="568" customFormat="1" ht="72">
      <c r="A41" s="536" t="s">
        <v>386</v>
      </c>
      <c r="B41" s="537" t="s">
        <v>387</v>
      </c>
      <c r="C41" s="538" t="s">
        <v>113</v>
      </c>
      <c r="D41" s="618">
        <v>195.78</v>
      </c>
      <c r="E41" s="545">
        <v>128.43</v>
      </c>
      <c r="F41" s="290">
        <f>D41*E41</f>
        <v>25144</v>
      </c>
      <c r="G41" s="611">
        <v>91.87</v>
      </c>
      <c r="H41" s="290">
        <f>G41*D41</f>
        <v>17986</v>
      </c>
      <c r="I41" s="613"/>
      <c r="J41" s="302">
        <f>ROUND(I41*D41,2)</f>
        <v>0</v>
      </c>
      <c r="K41" s="297" t="s">
        <v>388</v>
      </c>
      <c r="L41" s="297" t="s">
        <v>389</v>
      </c>
      <c r="M41" s="534"/>
      <c r="N41" s="292"/>
    </row>
    <row r="42" spans="1:14" s="576" customFormat="1" ht="23.1" customHeight="1">
      <c r="A42" s="583" t="s">
        <v>260</v>
      </c>
      <c r="B42" s="584"/>
      <c r="C42" s="530"/>
      <c r="D42" s="531"/>
      <c r="E42" s="598"/>
      <c r="F42" s="348">
        <f t="shared" ref="F42:J42" si="15">SUM(F6:F41)</f>
        <v>931874</v>
      </c>
      <c r="G42" s="585"/>
      <c r="H42" s="348">
        <f t="shared" si="15"/>
        <v>543607</v>
      </c>
      <c r="I42" s="614"/>
      <c r="J42" s="348">
        <f t="shared" si="15"/>
        <v>9770</v>
      </c>
      <c r="K42" s="349"/>
      <c r="L42" s="349"/>
      <c r="M42" s="580"/>
      <c r="N42" s="350"/>
    </row>
  </sheetData>
  <sheetProtection algorithmName="SHA-512" hashValue="ETEk0QrY/7nXFNFfgPgjYsOwSYIAO+0aUw3W1M++Zeo53mXc1eaFeof4iq+sqE8nOYbJAiHjghf2kH1O6aCSTA==" saltValue="7yTJjnlpgMZQi5+aHGCd+w==" spinCount="100000" sheet="1" objects="1" scenarios="1"/>
  <mergeCells count="16">
    <mergeCell ref="A1:M1"/>
    <mergeCell ref="A2:H2"/>
    <mergeCell ref="A42:B42"/>
    <mergeCell ref="A4:A5"/>
    <mergeCell ref="B4:B5"/>
    <mergeCell ref="C4:C5"/>
    <mergeCell ref="D4:D5"/>
    <mergeCell ref="E4:E5"/>
    <mergeCell ref="F4:F5"/>
    <mergeCell ref="G4:G5"/>
    <mergeCell ref="H4:H5"/>
    <mergeCell ref="I4:I5"/>
    <mergeCell ref="J4:J5"/>
    <mergeCell ref="K4:K5"/>
    <mergeCell ref="L4:L5"/>
    <mergeCell ref="M4:M5"/>
  </mergeCells>
  <phoneticPr fontId="98" type="noConversion"/>
  <conditionalFormatting sqref="M3 O2:IO42 C6:C42 A7:B17">
    <cfRule type="cellIs" dxfId="28" priority="8" operator="equal">
      <formula>0</formula>
    </cfRule>
  </conditionalFormatting>
  <conditionalFormatting sqref="M19">
    <cfRule type="cellIs" dxfId="27" priority="16" operator="equal">
      <formula>0</formula>
    </cfRule>
  </conditionalFormatting>
  <conditionalFormatting sqref="M27">
    <cfRule type="cellIs" dxfId="26" priority="15" operator="equal">
      <formula>0</formula>
    </cfRule>
  </conditionalFormatting>
  <conditionalFormatting sqref="M29">
    <cfRule type="cellIs" dxfId="25" priority="14" operator="equal">
      <formula>0</formula>
    </cfRule>
  </conditionalFormatting>
  <conditionalFormatting sqref="M31">
    <cfRule type="cellIs" dxfId="24" priority="13" operator="equal">
      <formula>0</formula>
    </cfRule>
  </conditionalFormatting>
  <conditionalFormatting sqref="M37">
    <cfRule type="cellIs" dxfId="23" priority="11" operator="equal">
      <formula>0</formula>
    </cfRule>
  </conditionalFormatting>
  <conditionalFormatting sqref="M38">
    <cfRule type="cellIs" dxfId="22" priority="10" operator="equal">
      <formula>0</formula>
    </cfRule>
  </conditionalFormatting>
  <conditionalFormatting sqref="M39">
    <cfRule type="cellIs" dxfId="21" priority="9" operator="equal">
      <formula>0</formula>
    </cfRule>
  </conditionalFormatting>
  <conditionalFormatting sqref="A3:L3 A4:D4 A5:C5 A2 I2:L2">
    <cfRule type="cellIs" dxfId="20" priority="19" operator="equal">
      <formula>0</formula>
    </cfRule>
  </conditionalFormatting>
  <conditionalFormatting sqref="M2:N2 M4:N4 N3">
    <cfRule type="cellIs" dxfId="19" priority="18" operator="equal">
      <formula>0</formula>
    </cfRule>
  </conditionalFormatting>
  <conditionalFormatting sqref="M33:M36 M40:M41">
    <cfRule type="cellIs" dxfId="18" priority="12" operator="equal">
      <formula>0</formula>
    </cfRule>
  </conditionalFormatting>
  <conditionalFormatting sqref="N1:IF1">
    <cfRule type="cellIs" dxfId="17" priority="1" operator="equal">
      <formula>0</formula>
    </cfRule>
  </conditionalFormatting>
  <conditionalFormatting sqref="A1">
    <cfRule type="cellIs" dxfId="16" priority="2" operator="equal">
      <formula>0</formula>
    </cfRule>
  </conditionalFormatting>
  <printOptions horizontalCentered="1"/>
  <pageMargins left="0.31496062992126" right="0.31496062992126" top="0.74803149606299202" bottom="0.74803149606299202" header="0.31496062992126" footer="0.31496062992126"/>
  <pageSetup paperSize="9" scale="64" fitToHeight="0" orientation="landscape" r:id="rId1"/>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N43"/>
  <sheetViews>
    <sheetView zoomScale="40" zoomScaleNormal="40" workbookViewId="0">
      <selection activeCell="L9" sqref="L9"/>
    </sheetView>
  </sheetViews>
  <sheetFormatPr defaultColWidth="9.109375" defaultRowHeight="12"/>
  <cols>
    <col min="1" max="1" width="21.88671875" style="498" customWidth="1"/>
    <col min="2" max="2" width="26.88671875" style="498" customWidth="1"/>
    <col min="3" max="3" width="6.21875" style="566" customWidth="1"/>
    <col min="4" max="4" width="9.33203125" style="577" customWidth="1"/>
    <col min="5" max="5" width="9.6640625" style="498" hidden="1" customWidth="1"/>
    <col min="6" max="6" width="14.5546875" style="498" hidden="1" customWidth="1"/>
    <col min="7" max="7" width="11.109375" style="498" customWidth="1"/>
    <col min="8" max="8" width="15.77734375" style="498" customWidth="1"/>
    <col min="9" max="9" width="11.5546875" style="498" customWidth="1"/>
    <col min="10" max="10" width="15.77734375" style="498" customWidth="1"/>
    <col min="11" max="11" width="24.21875" style="565" customWidth="1"/>
    <col min="12" max="12" width="60.5546875" style="565" customWidth="1"/>
    <col min="13" max="13" width="19.77734375" style="566" customWidth="1"/>
    <col min="14" max="14" width="23.33203125" style="566" customWidth="1"/>
    <col min="15" max="15" width="9.109375" style="498"/>
    <col min="16" max="17" width="11.33203125" style="498" customWidth="1"/>
    <col min="18" max="18" width="25" style="498" customWidth="1"/>
    <col min="19" max="16384" width="9.109375" style="498"/>
  </cols>
  <sheetData>
    <row r="1" spans="1:14" s="495" customFormat="1" ht="55.8" customHeight="1">
      <c r="A1" s="499" t="s">
        <v>1527</v>
      </c>
      <c r="B1" s="499"/>
      <c r="C1" s="499"/>
      <c r="D1" s="499"/>
      <c r="E1" s="499"/>
      <c r="F1" s="499"/>
      <c r="G1" s="499"/>
      <c r="H1" s="499"/>
      <c r="I1" s="549"/>
      <c r="J1" s="499"/>
      <c r="K1" s="499"/>
      <c r="L1" s="499"/>
      <c r="M1" s="499"/>
    </row>
    <row r="2" spans="1:14" ht="18.75" customHeight="1">
      <c r="A2" s="620" t="s">
        <v>391</v>
      </c>
      <c r="B2" s="620"/>
      <c r="C2" s="606"/>
      <c r="D2" s="621"/>
      <c r="E2" s="620"/>
      <c r="F2" s="606"/>
      <c r="G2" s="606"/>
      <c r="H2" s="606"/>
      <c r="I2" s="588"/>
      <c r="J2" s="588"/>
      <c r="K2" s="589"/>
      <c r="L2" s="589"/>
      <c r="M2" s="590"/>
    </row>
    <row r="3" spans="1:14" ht="18.75" customHeight="1">
      <c r="A3" s="591" t="s">
        <v>55</v>
      </c>
      <c r="B3" s="591"/>
      <c r="C3" s="592"/>
      <c r="D3" s="593"/>
      <c r="E3" s="591"/>
      <c r="F3" s="594"/>
      <c r="G3" s="594"/>
      <c r="H3" s="594"/>
      <c r="I3" s="594"/>
      <c r="J3" s="594"/>
      <c r="K3" s="591"/>
      <c r="L3" s="591"/>
      <c r="M3" s="503" t="s">
        <v>39</v>
      </c>
      <c r="N3" s="287"/>
    </row>
    <row r="4" spans="1:14" ht="20.100000000000001" customHeight="1">
      <c r="A4" s="378" t="s">
        <v>56</v>
      </c>
      <c r="B4" s="380" t="s">
        <v>57</v>
      </c>
      <c r="C4" s="380" t="s">
        <v>58</v>
      </c>
      <c r="D4" s="557" t="s">
        <v>59</v>
      </c>
      <c r="E4" s="558" t="s">
        <v>60</v>
      </c>
      <c r="F4" s="380" t="s">
        <v>61</v>
      </c>
      <c r="G4" s="558" t="s">
        <v>1528</v>
      </c>
      <c r="H4" s="371" t="s">
        <v>1529</v>
      </c>
      <c r="I4" s="375" t="s">
        <v>1530</v>
      </c>
      <c r="J4" s="377" t="s">
        <v>1531</v>
      </c>
      <c r="K4" s="377" t="s">
        <v>62</v>
      </c>
      <c r="L4" s="377" t="s">
        <v>63</v>
      </c>
      <c r="M4" s="600" t="s">
        <v>12</v>
      </c>
      <c r="N4" s="292"/>
    </row>
    <row r="5" spans="1:14" ht="20.100000000000001" customHeight="1">
      <c r="A5" s="379"/>
      <c r="B5" s="381"/>
      <c r="C5" s="381"/>
      <c r="D5" s="560"/>
      <c r="E5" s="561"/>
      <c r="F5" s="381"/>
      <c r="G5" s="561"/>
      <c r="H5" s="372"/>
      <c r="I5" s="376"/>
      <c r="J5" s="376"/>
      <c r="K5" s="376"/>
      <c r="L5" s="376"/>
      <c r="M5" s="601"/>
      <c r="N5" s="292"/>
    </row>
    <row r="6" spans="1:14" s="568" customFormat="1">
      <c r="A6" s="541">
        <v>100</v>
      </c>
      <c r="B6" s="542" t="s">
        <v>64</v>
      </c>
      <c r="C6" s="288"/>
      <c r="D6" s="543"/>
      <c r="E6" s="582"/>
      <c r="F6" s="288"/>
      <c r="G6" s="582"/>
      <c r="H6" s="288"/>
      <c r="I6" s="293"/>
      <c r="J6" s="293"/>
      <c r="K6" s="294"/>
      <c r="L6" s="294"/>
      <c r="M6" s="579"/>
      <c r="N6" s="292"/>
    </row>
    <row r="7" spans="1:14" s="568" customFormat="1">
      <c r="A7" s="536">
        <v>102</v>
      </c>
      <c r="B7" s="537" t="s">
        <v>66</v>
      </c>
      <c r="C7" s="538"/>
      <c r="D7" s="618"/>
      <c r="E7" s="545"/>
      <c r="F7" s="288"/>
      <c r="G7" s="582"/>
      <c r="H7" s="288"/>
      <c r="I7" s="293"/>
      <c r="J7" s="293"/>
      <c r="K7" s="294"/>
      <c r="L7" s="294"/>
      <c r="M7" s="579"/>
      <c r="N7" s="292"/>
    </row>
    <row r="8" spans="1:14" s="568" customFormat="1" ht="60">
      <c r="A8" s="536" t="s">
        <v>67</v>
      </c>
      <c r="B8" s="537" t="s">
        <v>68</v>
      </c>
      <c r="C8" s="538" t="s">
        <v>65</v>
      </c>
      <c r="D8" s="618">
        <v>1</v>
      </c>
      <c r="E8" s="545">
        <v>5735.81</v>
      </c>
      <c r="F8" s="290">
        <f>D8*E8</f>
        <v>5736</v>
      </c>
      <c r="G8" s="596">
        <v>2312</v>
      </c>
      <c r="H8" s="290">
        <f t="shared" ref="H8:H9" si="0">G8*D8</f>
        <v>2312</v>
      </c>
      <c r="I8" s="302">
        <v>2312</v>
      </c>
      <c r="J8" s="302">
        <f t="shared" ref="J8:J11" si="1">ROUND(I8*D8,2)</f>
        <v>2312</v>
      </c>
      <c r="K8" s="296" t="s">
        <v>69</v>
      </c>
      <c r="L8" s="297" t="s">
        <v>70</v>
      </c>
      <c r="M8" s="578"/>
      <c r="N8" s="292"/>
    </row>
    <row r="9" spans="1:14" s="568" customFormat="1" ht="130.05000000000001" customHeight="1">
      <c r="A9" s="536" t="s">
        <v>71</v>
      </c>
      <c r="B9" s="537" t="s">
        <v>72</v>
      </c>
      <c r="C9" s="538" t="s">
        <v>65</v>
      </c>
      <c r="D9" s="618">
        <v>1</v>
      </c>
      <c r="E9" s="545">
        <v>35416</v>
      </c>
      <c r="F9" s="290">
        <f>D9*E9</f>
        <v>35416</v>
      </c>
      <c r="G9" s="596">
        <v>10850</v>
      </c>
      <c r="H9" s="290">
        <f t="shared" si="0"/>
        <v>10850</v>
      </c>
      <c r="I9" s="302">
        <v>10850</v>
      </c>
      <c r="J9" s="302">
        <f t="shared" si="1"/>
        <v>10850</v>
      </c>
      <c r="K9" s="296" t="s">
        <v>1536</v>
      </c>
      <c r="L9" s="297" t="s">
        <v>73</v>
      </c>
      <c r="M9" s="578"/>
      <c r="N9" s="292"/>
    </row>
    <row r="10" spans="1:14" s="568" customFormat="1">
      <c r="A10" s="536" t="s">
        <v>74</v>
      </c>
      <c r="B10" s="537" t="s">
        <v>75</v>
      </c>
      <c r="C10" s="538"/>
      <c r="D10" s="618"/>
      <c r="E10" s="545"/>
      <c r="F10" s="288"/>
      <c r="G10" s="582"/>
      <c r="H10" s="288"/>
      <c r="I10" s="569"/>
      <c r="J10" s="301"/>
      <c r="K10" s="294"/>
      <c r="L10" s="294"/>
      <c r="M10" s="579"/>
      <c r="N10" s="292"/>
    </row>
    <row r="11" spans="1:14" s="568" customFormat="1" ht="90" customHeight="1">
      <c r="A11" s="536" t="s">
        <v>76</v>
      </c>
      <c r="B11" s="537" t="s">
        <v>77</v>
      </c>
      <c r="C11" s="538" t="s">
        <v>78</v>
      </c>
      <c r="D11" s="618">
        <v>252</v>
      </c>
      <c r="E11" s="545">
        <v>953.64</v>
      </c>
      <c r="F11" s="290">
        <f>D11*E11</f>
        <v>240317</v>
      </c>
      <c r="G11" s="547">
        <v>530</v>
      </c>
      <c r="H11" s="290">
        <f>G11*D11</f>
        <v>133560</v>
      </c>
      <c r="I11" s="570"/>
      <c r="J11" s="302">
        <f t="shared" si="1"/>
        <v>0</v>
      </c>
      <c r="K11" s="297" t="s">
        <v>79</v>
      </c>
      <c r="L11" s="296" t="s">
        <v>80</v>
      </c>
      <c r="M11" s="579"/>
      <c r="N11" s="292"/>
    </row>
    <row r="12" spans="1:14" s="568" customFormat="1">
      <c r="A12" s="536">
        <v>104</v>
      </c>
      <c r="B12" s="537" t="s">
        <v>81</v>
      </c>
      <c r="C12" s="538"/>
      <c r="D12" s="618"/>
      <c r="E12" s="545"/>
      <c r="F12" s="288"/>
      <c r="G12" s="582"/>
      <c r="H12" s="288"/>
      <c r="I12" s="569"/>
      <c r="J12" s="301"/>
      <c r="K12" s="296"/>
      <c r="L12" s="294"/>
      <c r="M12" s="579"/>
      <c r="N12" s="292"/>
    </row>
    <row r="13" spans="1:14" s="568" customFormat="1" ht="24">
      <c r="A13" s="536" t="s">
        <v>82</v>
      </c>
      <c r="B13" s="537" t="s">
        <v>83</v>
      </c>
      <c r="C13" s="538" t="s">
        <v>65</v>
      </c>
      <c r="D13" s="618">
        <v>1</v>
      </c>
      <c r="E13" s="545">
        <v>9830</v>
      </c>
      <c r="F13" s="290">
        <f>D13*E13</f>
        <v>9830</v>
      </c>
      <c r="G13" s="547">
        <v>4915</v>
      </c>
      <c r="H13" s="290">
        <f>G13*D13</f>
        <v>4915</v>
      </c>
      <c r="I13" s="570"/>
      <c r="J13" s="302">
        <f t="shared" ref="J13:J17" si="2">ROUND(I13*D13,2)</f>
        <v>0</v>
      </c>
      <c r="K13" s="296" t="s">
        <v>69</v>
      </c>
      <c r="L13" s="296" t="s">
        <v>84</v>
      </c>
      <c r="M13" s="579"/>
      <c r="N13" s="292"/>
    </row>
    <row r="14" spans="1:14" s="568" customFormat="1">
      <c r="A14" s="536">
        <v>109</v>
      </c>
      <c r="B14" s="537" t="s">
        <v>85</v>
      </c>
      <c r="C14" s="538"/>
      <c r="D14" s="618"/>
      <c r="E14" s="545"/>
      <c r="F14" s="288"/>
      <c r="G14" s="582"/>
      <c r="H14" s="288"/>
      <c r="I14" s="569"/>
      <c r="J14" s="301"/>
      <c r="K14" s="296"/>
      <c r="L14" s="294"/>
      <c r="M14" s="579"/>
      <c r="N14" s="292"/>
    </row>
    <row r="15" spans="1:14" s="568" customFormat="1" ht="79.95" customHeight="1">
      <c r="A15" s="536" t="s">
        <v>86</v>
      </c>
      <c r="B15" s="537" t="s">
        <v>85</v>
      </c>
      <c r="C15" s="538" t="s">
        <v>65</v>
      </c>
      <c r="D15" s="618">
        <v>1</v>
      </c>
      <c r="E15" s="545">
        <v>11471.61</v>
      </c>
      <c r="F15" s="290">
        <f>D15*E15</f>
        <v>11472</v>
      </c>
      <c r="G15" s="547">
        <v>4624</v>
      </c>
      <c r="H15" s="290">
        <f>G15*D15</f>
        <v>4624</v>
      </c>
      <c r="I15" s="570"/>
      <c r="J15" s="302">
        <f t="shared" si="2"/>
        <v>0</v>
      </c>
      <c r="K15" s="296" t="s">
        <v>69</v>
      </c>
      <c r="L15" s="296" t="s">
        <v>1540</v>
      </c>
      <c r="M15" s="579"/>
      <c r="N15" s="292"/>
    </row>
    <row r="16" spans="1:14" s="568" customFormat="1">
      <c r="A16" s="536">
        <v>110</v>
      </c>
      <c r="B16" s="537" t="s">
        <v>19</v>
      </c>
      <c r="C16" s="538"/>
      <c r="D16" s="618"/>
      <c r="E16" s="545"/>
      <c r="F16" s="288"/>
      <c r="G16" s="582"/>
      <c r="H16" s="288"/>
      <c r="I16" s="569"/>
      <c r="J16" s="301"/>
      <c r="K16" s="294"/>
      <c r="L16" s="294"/>
      <c r="M16" s="579"/>
      <c r="N16" s="292"/>
    </row>
    <row r="17" spans="1:14" s="568" customFormat="1" ht="48">
      <c r="A17" s="536" t="s">
        <v>337</v>
      </c>
      <c r="B17" s="537" t="s">
        <v>338</v>
      </c>
      <c r="C17" s="538" t="s">
        <v>65</v>
      </c>
      <c r="D17" s="618">
        <v>1</v>
      </c>
      <c r="E17" s="545">
        <v>39355.39</v>
      </c>
      <c r="F17" s="290">
        <f>D17*E17</f>
        <v>39355</v>
      </c>
      <c r="G17" s="547">
        <v>27549</v>
      </c>
      <c r="H17" s="290">
        <f>G17*D17</f>
        <v>27549</v>
      </c>
      <c r="I17" s="570"/>
      <c r="J17" s="302">
        <f t="shared" si="2"/>
        <v>0</v>
      </c>
      <c r="K17" s="297" t="s">
        <v>69</v>
      </c>
      <c r="L17" s="297" t="s">
        <v>339</v>
      </c>
      <c r="M17" s="579"/>
      <c r="N17" s="292"/>
    </row>
    <row r="18" spans="1:14" s="568" customFormat="1">
      <c r="A18" s="541">
        <v>500</v>
      </c>
      <c r="B18" s="542" t="s">
        <v>24</v>
      </c>
      <c r="C18" s="538"/>
      <c r="D18" s="539"/>
      <c r="E18" s="545"/>
      <c r="F18" s="288"/>
      <c r="G18" s="581"/>
      <c r="H18" s="288"/>
      <c r="I18" s="612"/>
      <c r="J18" s="301"/>
      <c r="K18" s="294"/>
      <c r="L18" s="294"/>
      <c r="M18" s="579"/>
      <c r="N18" s="292"/>
    </row>
    <row r="19" spans="1:14" s="568" customFormat="1">
      <c r="A19" s="536">
        <v>502</v>
      </c>
      <c r="B19" s="537" t="s">
        <v>340</v>
      </c>
      <c r="C19" s="538"/>
      <c r="D19" s="545"/>
      <c r="E19" s="545"/>
      <c r="F19" s="290"/>
      <c r="G19" s="581"/>
      <c r="H19" s="290"/>
      <c r="I19" s="613"/>
      <c r="J19" s="302"/>
      <c r="K19" s="297"/>
      <c r="L19" s="297"/>
      <c r="M19" s="534"/>
      <c r="N19" s="292"/>
    </row>
    <row r="20" spans="1:14" s="568" customFormat="1">
      <c r="A20" s="536" t="s">
        <v>341</v>
      </c>
      <c r="B20" s="537" t="s">
        <v>342</v>
      </c>
      <c r="C20" s="538"/>
      <c r="D20" s="545"/>
      <c r="E20" s="545"/>
      <c r="F20" s="290"/>
      <c r="G20" s="581"/>
      <c r="H20" s="290"/>
      <c r="I20" s="613"/>
      <c r="J20" s="302"/>
      <c r="K20" s="297"/>
      <c r="L20" s="297"/>
      <c r="M20" s="579"/>
      <c r="N20" s="292"/>
    </row>
    <row r="21" spans="1:14" s="568" customFormat="1">
      <c r="A21" s="536" t="s">
        <v>343</v>
      </c>
      <c r="B21" s="537" t="s">
        <v>215</v>
      </c>
      <c r="C21" s="538"/>
      <c r="D21" s="618"/>
      <c r="E21" s="545"/>
      <c r="F21" s="288"/>
      <c r="G21" s="582"/>
      <c r="H21" s="288"/>
      <c r="I21" s="612"/>
      <c r="J21" s="301"/>
      <c r="K21" s="294"/>
      <c r="L21" s="294"/>
      <c r="M21" s="579"/>
      <c r="N21" s="292"/>
    </row>
    <row r="22" spans="1:14" s="568" customFormat="1" ht="115.05" customHeight="1">
      <c r="A22" s="536" t="s">
        <v>344</v>
      </c>
      <c r="B22" s="537" t="s">
        <v>345</v>
      </c>
      <c r="C22" s="538" t="s">
        <v>95</v>
      </c>
      <c r="D22" s="618">
        <v>12.557</v>
      </c>
      <c r="E22" s="545">
        <v>1158.9000000000001</v>
      </c>
      <c r="F22" s="290">
        <f>D22*E22</f>
        <v>14552</v>
      </c>
      <c r="G22" s="611">
        <v>927.92</v>
      </c>
      <c r="H22" s="290">
        <f t="shared" ref="H22:H24" si="3">G22*D22</f>
        <v>11652</v>
      </c>
      <c r="I22" s="613"/>
      <c r="J22" s="302">
        <f t="shared" ref="J22:J24" si="4">ROUND(I22*D22,2)</f>
        <v>0</v>
      </c>
      <c r="K22" s="297" t="s">
        <v>201</v>
      </c>
      <c r="L22" s="297" t="s">
        <v>346</v>
      </c>
      <c r="M22" s="579"/>
      <c r="N22" s="292"/>
    </row>
    <row r="23" spans="1:14" s="568" customFormat="1" ht="115.05" customHeight="1">
      <c r="A23" s="536" t="s">
        <v>347</v>
      </c>
      <c r="B23" s="537" t="s">
        <v>265</v>
      </c>
      <c r="C23" s="538" t="s">
        <v>164</v>
      </c>
      <c r="D23" s="618">
        <v>1522</v>
      </c>
      <c r="E23" s="545">
        <v>6.3</v>
      </c>
      <c r="F23" s="290">
        <f t="shared" ref="F23:F24" si="5">D23*E23</f>
        <v>9589</v>
      </c>
      <c r="G23" s="611">
        <v>4.55</v>
      </c>
      <c r="H23" s="290">
        <f t="shared" si="3"/>
        <v>6925</v>
      </c>
      <c r="I23" s="613"/>
      <c r="J23" s="302">
        <f t="shared" si="4"/>
        <v>0</v>
      </c>
      <c r="K23" s="297" t="s">
        <v>165</v>
      </c>
      <c r="L23" s="297" t="s">
        <v>348</v>
      </c>
      <c r="M23" s="579"/>
      <c r="N23" s="292"/>
    </row>
    <row r="24" spans="1:14" s="568" customFormat="1" ht="115.05" customHeight="1">
      <c r="A24" s="536" t="s">
        <v>349</v>
      </c>
      <c r="B24" s="537" t="s">
        <v>350</v>
      </c>
      <c r="C24" s="538" t="s">
        <v>351</v>
      </c>
      <c r="D24" s="618">
        <v>196</v>
      </c>
      <c r="E24" s="545">
        <v>656.83</v>
      </c>
      <c r="F24" s="290">
        <f t="shared" si="5"/>
        <v>128739</v>
      </c>
      <c r="G24" s="611">
        <v>423.08</v>
      </c>
      <c r="H24" s="290">
        <f t="shared" si="3"/>
        <v>82924</v>
      </c>
      <c r="I24" s="613"/>
      <c r="J24" s="302">
        <f t="shared" si="4"/>
        <v>0</v>
      </c>
      <c r="K24" s="297" t="s">
        <v>352</v>
      </c>
      <c r="L24" s="297" t="s">
        <v>353</v>
      </c>
      <c r="M24" s="579"/>
      <c r="N24" s="292"/>
    </row>
    <row r="25" spans="1:14" s="568" customFormat="1">
      <c r="A25" s="536" t="s">
        <v>354</v>
      </c>
      <c r="B25" s="537" t="s">
        <v>355</v>
      </c>
      <c r="C25" s="538"/>
      <c r="D25" s="618"/>
      <c r="E25" s="545"/>
      <c r="F25" s="290"/>
      <c r="G25" s="611"/>
      <c r="H25" s="290"/>
      <c r="I25" s="613"/>
      <c r="J25" s="302"/>
      <c r="K25" s="297"/>
      <c r="L25" s="297"/>
      <c r="M25" s="579"/>
      <c r="N25" s="292"/>
    </row>
    <row r="26" spans="1:14" s="568" customFormat="1" ht="130.05000000000001" customHeight="1">
      <c r="A26" s="536" t="s">
        <v>356</v>
      </c>
      <c r="B26" s="537" t="s">
        <v>357</v>
      </c>
      <c r="C26" s="538" t="s">
        <v>140</v>
      </c>
      <c r="D26" s="618">
        <v>810</v>
      </c>
      <c r="E26" s="545">
        <v>143.47</v>
      </c>
      <c r="F26" s="290">
        <f t="shared" ref="F26:F28" si="6">D26*E26</f>
        <v>116211</v>
      </c>
      <c r="G26" s="611">
        <v>98.35</v>
      </c>
      <c r="H26" s="290">
        <f t="shared" ref="H26:H28" si="7">G26*D26</f>
        <v>79664</v>
      </c>
      <c r="I26" s="613"/>
      <c r="J26" s="302">
        <f t="shared" ref="J26:J28" si="8">ROUND(I26*D26,2)</f>
        <v>0</v>
      </c>
      <c r="K26" s="297" t="s">
        <v>358</v>
      </c>
      <c r="L26" s="297" t="s">
        <v>359</v>
      </c>
      <c r="M26" s="579"/>
      <c r="N26" s="292"/>
    </row>
    <row r="27" spans="1:14" s="568" customFormat="1" ht="115.05" customHeight="1">
      <c r="A27" s="536" t="s">
        <v>360</v>
      </c>
      <c r="B27" s="537" t="s">
        <v>361</v>
      </c>
      <c r="C27" s="538" t="s">
        <v>140</v>
      </c>
      <c r="D27" s="618">
        <v>142.5</v>
      </c>
      <c r="E27" s="545">
        <v>515.83000000000004</v>
      </c>
      <c r="F27" s="290">
        <f t="shared" si="6"/>
        <v>73506</v>
      </c>
      <c r="G27" s="611">
        <v>130</v>
      </c>
      <c r="H27" s="290">
        <f t="shared" si="7"/>
        <v>18525</v>
      </c>
      <c r="I27" s="613"/>
      <c r="J27" s="302">
        <f t="shared" si="8"/>
        <v>0</v>
      </c>
      <c r="K27" s="297" t="s">
        <v>362</v>
      </c>
      <c r="L27" s="297" t="s">
        <v>363</v>
      </c>
      <c r="M27" s="534"/>
      <c r="N27" s="292"/>
    </row>
    <row r="28" spans="1:14" s="568" customFormat="1" ht="106.05" customHeight="1">
      <c r="A28" s="536" t="s">
        <v>364</v>
      </c>
      <c r="B28" s="537" t="s">
        <v>365</v>
      </c>
      <c r="C28" s="538" t="s">
        <v>140</v>
      </c>
      <c r="D28" s="618">
        <v>530</v>
      </c>
      <c r="E28" s="545">
        <v>158.05000000000001</v>
      </c>
      <c r="F28" s="290">
        <f t="shared" si="6"/>
        <v>83767</v>
      </c>
      <c r="G28" s="611">
        <v>135.27000000000001</v>
      </c>
      <c r="H28" s="290">
        <f t="shared" si="7"/>
        <v>71693</v>
      </c>
      <c r="I28" s="613"/>
      <c r="J28" s="302">
        <f t="shared" si="8"/>
        <v>0</v>
      </c>
      <c r="K28" s="297" t="s">
        <v>366</v>
      </c>
      <c r="L28" s="297" t="s">
        <v>367</v>
      </c>
      <c r="M28" s="579"/>
      <c r="N28" s="292"/>
    </row>
    <row r="29" spans="1:14" s="568" customFormat="1">
      <c r="A29" s="536" t="s">
        <v>368</v>
      </c>
      <c r="B29" s="537" t="s">
        <v>369</v>
      </c>
      <c r="C29" s="538"/>
      <c r="D29" s="618"/>
      <c r="E29" s="545"/>
      <c r="F29" s="290"/>
      <c r="G29" s="619"/>
      <c r="H29" s="290"/>
      <c r="I29" s="613"/>
      <c r="J29" s="302"/>
      <c r="K29" s="297"/>
      <c r="L29" s="297"/>
      <c r="M29" s="534"/>
      <c r="N29" s="292"/>
    </row>
    <row r="30" spans="1:14" s="568" customFormat="1" ht="115.05" customHeight="1">
      <c r="A30" s="536" t="s">
        <v>370</v>
      </c>
      <c r="B30" s="537" t="s">
        <v>371</v>
      </c>
      <c r="C30" s="538" t="s">
        <v>95</v>
      </c>
      <c r="D30" s="618">
        <v>3.262</v>
      </c>
      <c r="E30" s="545">
        <v>1761.68</v>
      </c>
      <c r="F30" s="290">
        <f>D30*E30</f>
        <v>5747</v>
      </c>
      <c r="G30" s="611">
        <v>1210</v>
      </c>
      <c r="H30" s="290">
        <f>G30*D30</f>
        <v>3947</v>
      </c>
      <c r="I30" s="613"/>
      <c r="J30" s="302">
        <f t="shared" ref="J30:J33" si="9">ROUND(I30*D30,2)</f>
        <v>0</v>
      </c>
      <c r="K30" s="297" t="s">
        <v>201</v>
      </c>
      <c r="L30" s="297" t="s">
        <v>372</v>
      </c>
      <c r="M30" s="579"/>
      <c r="N30" s="292"/>
    </row>
    <row r="31" spans="1:14" s="568" customFormat="1">
      <c r="A31" s="536" t="s">
        <v>373</v>
      </c>
      <c r="B31" s="537" t="s">
        <v>374</v>
      </c>
      <c r="C31" s="538"/>
      <c r="D31" s="618"/>
      <c r="E31" s="545"/>
      <c r="F31" s="290"/>
      <c r="G31" s="615"/>
      <c r="H31" s="290"/>
      <c r="I31" s="613"/>
      <c r="J31" s="302"/>
      <c r="K31" s="297"/>
      <c r="L31" s="297"/>
      <c r="M31" s="534"/>
      <c r="N31" s="292"/>
    </row>
    <row r="32" spans="1:14" s="568" customFormat="1" ht="139.94999999999999" customHeight="1">
      <c r="A32" s="536" t="s">
        <v>375</v>
      </c>
      <c r="B32" s="537" t="s">
        <v>376</v>
      </c>
      <c r="C32" s="538" t="s">
        <v>113</v>
      </c>
      <c r="D32" s="618">
        <v>34.799999999999997</v>
      </c>
      <c r="E32" s="545">
        <v>458.33</v>
      </c>
      <c r="F32" s="290">
        <f t="shared" ref="F32:F33" si="10">D32*E32</f>
        <v>15950</v>
      </c>
      <c r="G32" s="611">
        <v>249.7</v>
      </c>
      <c r="H32" s="290">
        <f>G32*D32</f>
        <v>8690</v>
      </c>
      <c r="I32" s="613"/>
      <c r="J32" s="302">
        <f t="shared" si="9"/>
        <v>0</v>
      </c>
      <c r="K32" s="297" t="s">
        <v>377</v>
      </c>
      <c r="L32" s="297" t="s">
        <v>378</v>
      </c>
      <c r="M32" s="579"/>
      <c r="N32" s="292"/>
    </row>
    <row r="33" spans="1:14" s="568" customFormat="1" ht="90" customHeight="1">
      <c r="A33" s="536" t="s">
        <v>379</v>
      </c>
      <c r="B33" s="537" t="s">
        <v>248</v>
      </c>
      <c r="C33" s="538" t="s">
        <v>95</v>
      </c>
      <c r="D33" s="618">
        <v>18.7</v>
      </c>
      <c r="E33" s="545">
        <v>58.71</v>
      </c>
      <c r="F33" s="290">
        <f t="shared" si="10"/>
        <v>1098</v>
      </c>
      <c r="G33" s="615">
        <v>20</v>
      </c>
      <c r="H33" s="290">
        <f>G33*D33</f>
        <v>374</v>
      </c>
      <c r="I33" s="613"/>
      <c r="J33" s="302">
        <f t="shared" si="9"/>
        <v>0</v>
      </c>
      <c r="K33" s="297" t="s">
        <v>103</v>
      </c>
      <c r="L33" s="297" t="s">
        <v>104</v>
      </c>
      <c r="M33" s="534"/>
      <c r="N33" s="292"/>
    </row>
    <row r="34" spans="1:14" s="568" customFormat="1">
      <c r="A34" s="536">
        <v>503</v>
      </c>
      <c r="B34" s="537" t="s">
        <v>134</v>
      </c>
      <c r="C34" s="538"/>
      <c r="D34" s="618"/>
      <c r="E34" s="545"/>
      <c r="F34" s="290"/>
      <c r="G34" s="615"/>
      <c r="H34" s="290"/>
      <c r="I34" s="613"/>
      <c r="J34" s="302"/>
      <c r="K34" s="297"/>
      <c r="L34" s="297"/>
      <c r="M34" s="534"/>
      <c r="N34" s="292"/>
    </row>
    <row r="35" spans="1:14" s="568" customFormat="1">
      <c r="A35" s="536" t="s">
        <v>149</v>
      </c>
      <c r="B35" s="537" t="s">
        <v>150</v>
      </c>
      <c r="C35" s="538"/>
      <c r="D35" s="618"/>
      <c r="E35" s="545"/>
      <c r="F35" s="290"/>
      <c r="G35" s="615"/>
      <c r="H35" s="290"/>
      <c r="I35" s="613"/>
      <c r="J35" s="302"/>
      <c r="K35" s="297"/>
      <c r="L35" s="297"/>
      <c r="M35" s="534"/>
      <c r="N35" s="292"/>
    </row>
    <row r="36" spans="1:14" s="568" customFormat="1">
      <c r="A36" s="536" t="s">
        <v>192</v>
      </c>
      <c r="B36" s="537" t="s">
        <v>193</v>
      </c>
      <c r="C36" s="538"/>
      <c r="D36" s="618"/>
      <c r="E36" s="545"/>
      <c r="F36" s="290"/>
      <c r="G36" s="615"/>
      <c r="H36" s="290"/>
      <c r="I36" s="613"/>
      <c r="J36" s="302"/>
      <c r="K36" s="297"/>
      <c r="L36" s="297"/>
      <c r="M36" s="534"/>
      <c r="N36" s="292"/>
    </row>
    <row r="37" spans="1:14" s="568" customFormat="1" ht="106.05" customHeight="1">
      <c r="A37" s="536" t="s">
        <v>380</v>
      </c>
      <c r="B37" s="537" t="s">
        <v>381</v>
      </c>
      <c r="C37" s="538" t="s">
        <v>140</v>
      </c>
      <c r="D37" s="618">
        <v>1445.53</v>
      </c>
      <c r="E37" s="545">
        <v>106.62</v>
      </c>
      <c r="F37" s="290">
        <f t="shared" ref="F37:F39" si="11">D37*E37</f>
        <v>154122</v>
      </c>
      <c r="G37" s="615">
        <v>61.75</v>
      </c>
      <c r="H37" s="290">
        <f t="shared" ref="H37:H39" si="12">G37*D37</f>
        <v>89261</v>
      </c>
      <c r="I37" s="613"/>
      <c r="J37" s="302">
        <f t="shared" ref="J37:J39" si="13">ROUND(I37*D37,2)</f>
        <v>0</v>
      </c>
      <c r="K37" s="297" t="s">
        <v>196</v>
      </c>
      <c r="L37" s="297" t="s">
        <v>1522</v>
      </c>
      <c r="M37" s="534"/>
      <c r="N37" s="292"/>
    </row>
    <row r="38" spans="1:14" s="568" customFormat="1" ht="106.05" customHeight="1">
      <c r="A38" s="536" t="s">
        <v>382</v>
      </c>
      <c r="B38" s="537" t="s">
        <v>383</v>
      </c>
      <c r="C38" s="538" t="s">
        <v>140</v>
      </c>
      <c r="D38" s="618">
        <v>228.28</v>
      </c>
      <c r="E38" s="545">
        <v>138.03</v>
      </c>
      <c r="F38" s="290">
        <f t="shared" si="11"/>
        <v>31509</v>
      </c>
      <c r="G38" s="615">
        <v>68.400000000000006</v>
      </c>
      <c r="H38" s="290">
        <f t="shared" si="12"/>
        <v>15614</v>
      </c>
      <c r="I38" s="613"/>
      <c r="J38" s="302">
        <f t="shared" si="13"/>
        <v>0</v>
      </c>
      <c r="K38" s="297" t="s">
        <v>196</v>
      </c>
      <c r="L38" s="297" t="s">
        <v>1523</v>
      </c>
      <c r="M38" s="534"/>
      <c r="N38" s="292"/>
    </row>
    <row r="39" spans="1:14" s="568" customFormat="1" ht="106.05" customHeight="1">
      <c r="A39" s="536" t="s">
        <v>384</v>
      </c>
      <c r="B39" s="537" t="s">
        <v>385</v>
      </c>
      <c r="C39" s="538" t="s">
        <v>140</v>
      </c>
      <c r="D39" s="618">
        <v>271.38</v>
      </c>
      <c r="E39" s="545">
        <v>167.09</v>
      </c>
      <c r="F39" s="290">
        <f t="shared" si="11"/>
        <v>45345</v>
      </c>
      <c r="G39" s="615">
        <v>71.25</v>
      </c>
      <c r="H39" s="290">
        <f t="shared" si="12"/>
        <v>19336</v>
      </c>
      <c r="I39" s="613"/>
      <c r="J39" s="302">
        <f t="shared" si="13"/>
        <v>0</v>
      </c>
      <c r="K39" s="297" t="s">
        <v>196</v>
      </c>
      <c r="L39" s="297" t="s">
        <v>1524</v>
      </c>
      <c r="M39" s="534"/>
      <c r="N39" s="292"/>
    </row>
    <row r="40" spans="1:14" s="568" customFormat="1">
      <c r="A40" s="536" t="s">
        <v>202</v>
      </c>
      <c r="B40" s="537" t="s">
        <v>203</v>
      </c>
      <c r="C40" s="538"/>
      <c r="D40" s="618"/>
      <c r="E40" s="545"/>
      <c r="F40" s="290"/>
      <c r="G40" s="615"/>
      <c r="H40" s="290"/>
      <c r="I40" s="613"/>
      <c r="J40" s="302"/>
      <c r="K40" s="297"/>
      <c r="L40" s="297"/>
      <c r="M40" s="534"/>
      <c r="N40" s="292"/>
    </row>
    <row r="41" spans="1:14" s="568" customFormat="1" ht="79.95" customHeight="1">
      <c r="A41" s="536" t="s">
        <v>386</v>
      </c>
      <c r="B41" s="537" t="s">
        <v>387</v>
      </c>
      <c r="C41" s="538" t="s">
        <v>113</v>
      </c>
      <c r="D41" s="618">
        <v>1543.4</v>
      </c>
      <c r="E41" s="545">
        <v>129.31</v>
      </c>
      <c r="F41" s="290">
        <f>D41*E41</f>
        <v>199577</v>
      </c>
      <c r="G41" s="611">
        <v>91.87</v>
      </c>
      <c r="H41" s="290">
        <f>G41*D41</f>
        <v>141792</v>
      </c>
      <c r="I41" s="613"/>
      <c r="J41" s="302">
        <f>ROUND(I41*D41,2)</f>
        <v>0</v>
      </c>
      <c r="K41" s="297" t="s">
        <v>388</v>
      </c>
      <c r="L41" s="297" t="s">
        <v>389</v>
      </c>
      <c r="M41" s="534"/>
      <c r="N41" s="292"/>
    </row>
    <row r="42" spans="1:14" s="576" customFormat="1" ht="23.1" customHeight="1">
      <c r="A42" s="583" t="s">
        <v>260</v>
      </c>
      <c r="B42" s="584"/>
      <c r="C42" s="530"/>
      <c r="D42" s="531"/>
      <c r="E42" s="598"/>
      <c r="F42" s="348">
        <f t="shared" ref="F42:J42" si="14">SUM(F6:F41)</f>
        <v>1221838</v>
      </c>
      <c r="G42" s="585"/>
      <c r="H42" s="348">
        <f t="shared" si="14"/>
        <v>734207</v>
      </c>
      <c r="I42" s="614"/>
      <c r="J42" s="348">
        <f t="shared" si="14"/>
        <v>13162</v>
      </c>
      <c r="K42" s="349"/>
      <c r="L42" s="349"/>
      <c r="M42" s="580"/>
      <c r="N42" s="350"/>
    </row>
    <row r="43" spans="1:14">
      <c r="N43" s="292"/>
    </row>
  </sheetData>
  <sheetProtection algorithmName="SHA-512" hashValue="SbN51+O6gvQlpQSN0hFF3CE2/xikl7E5uQTSgtNIk1pNQhWqbTZQ+WB1YE3kOjzONa8JPQM/xa2UcyYuOWY0lw==" saltValue="Fc+LvrtpmQbPhvCvqXoOfg==" spinCount="100000" sheet="1" objects="1" scenarios="1"/>
  <mergeCells count="15">
    <mergeCell ref="A1:M1"/>
    <mergeCell ref="A42:B42"/>
    <mergeCell ref="A4:A5"/>
    <mergeCell ref="B4:B5"/>
    <mergeCell ref="C4:C5"/>
    <mergeCell ref="D4:D5"/>
    <mergeCell ref="E4:E5"/>
    <mergeCell ref="F4:F5"/>
    <mergeCell ref="G4:G5"/>
    <mergeCell ref="H4:H5"/>
    <mergeCell ref="I4:I5"/>
    <mergeCell ref="J4:J5"/>
    <mergeCell ref="K4:K5"/>
    <mergeCell ref="L4:L5"/>
    <mergeCell ref="M4:M5"/>
  </mergeCells>
  <phoneticPr fontId="98" type="noConversion"/>
  <conditionalFormatting sqref="M3 O2:IO42 C6:C42 A7:B17">
    <cfRule type="cellIs" dxfId="15" priority="8" operator="equal">
      <formula>0</formula>
    </cfRule>
  </conditionalFormatting>
  <conditionalFormatting sqref="M19">
    <cfRule type="cellIs" dxfId="14" priority="16" operator="equal">
      <formula>0</formula>
    </cfRule>
  </conditionalFormatting>
  <conditionalFormatting sqref="M27">
    <cfRule type="cellIs" dxfId="13" priority="15" operator="equal">
      <formula>0</formula>
    </cfRule>
  </conditionalFormatting>
  <conditionalFormatting sqref="M29">
    <cfRule type="cellIs" dxfId="12" priority="14" operator="equal">
      <formula>0</formula>
    </cfRule>
  </conditionalFormatting>
  <conditionalFormatting sqref="M31">
    <cfRule type="cellIs" dxfId="11" priority="13" operator="equal">
      <formula>0</formula>
    </cfRule>
  </conditionalFormatting>
  <conditionalFormatting sqref="M37">
    <cfRule type="cellIs" dxfId="10" priority="11" operator="equal">
      <formula>0</formula>
    </cfRule>
  </conditionalFormatting>
  <conditionalFormatting sqref="M38">
    <cfRule type="cellIs" dxfId="9" priority="10" operator="equal">
      <formula>0</formula>
    </cfRule>
  </conditionalFormatting>
  <conditionalFormatting sqref="M39">
    <cfRule type="cellIs" dxfId="8" priority="9" operator="equal">
      <formula>0</formula>
    </cfRule>
  </conditionalFormatting>
  <conditionalFormatting sqref="A3:L3 A4:D4 A5:C5 A2 C2:L2">
    <cfRule type="cellIs" dxfId="7" priority="19" operator="equal">
      <formula>0</formula>
    </cfRule>
  </conditionalFormatting>
  <conditionalFormatting sqref="M2:N2 M4:N4 N3">
    <cfRule type="cellIs" dxfId="6" priority="18" operator="equal">
      <formula>0</formula>
    </cfRule>
  </conditionalFormatting>
  <conditionalFormatting sqref="M33:M36 M40:M41">
    <cfRule type="cellIs" dxfId="5" priority="12" operator="equal">
      <formula>0</formula>
    </cfRule>
  </conditionalFormatting>
  <conditionalFormatting sqref="N1:IF1">
    <cfRule type="cellIs" dxfId="4" priority="1" operator="equal">
      <formula>0</formula>
    </cfRule>
  </conditionalFormatting>
  <conditionalFormatting sqref="A1">
    <cfRule type="cellIs" dxfId="3" priority="2" operator="equal">
      <formula>0</formula>
    </cfRule>
  </conditionalFormatting>
  <printOptions horizontalCentered="1"/>
  <pageMargins left="0.31496062992126" right="0.31496062992126" top="0.74803149606299202" bottom="0.74803149606299202" header="0.31496062992126" footer="0.31496062992126"/>
  <pageSetup paperSize="9" scale="64" fitToHeight="0" orientation="landscape" r:id="rId1"/>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00000"/>
  </sheetPr>
  <dimension ref="A1:Q63"/>
  <sheetViews>
    <sheetView workbookViewId="0">
      <selection activeCell="O75" sqref="O75"/>
    </sheetView>
  </sheetViews>
  <sheetFormatPr defaultColWidth="9" defaultRowHeight="13.2"/>
  <cols>
    <col min="2" max="2" width="14.33203125" customWidth="1"/>
    <col min="3" max="3" width="13.5546875" customWidth="1"/>
    <col min="5" max="5" width="10.6640625" customWidth="1"/>
    <col min="6" max="6" width="9.6640625" customWidth="1"/>
    <col min="7" max="7" width="15.33203125" customWidth="1"/>
    <col min="8" max="8" width="11.88671875" customWidth="1"/>
    <col min="9" max="9" width="10.33203125" customWidth="1"/>
    <col min="10" max="11" width="11" customWidth="1"/>
  </cols>
  <sheetData>
    <row r="1" spans="1:17" ht="17.399999999999999">
      <c r="A1" s="382" t="s">
        <v>392</v>
      </c>
      <c r="B1" s="382"/>
      <c r="C1" s="382"/>
      <c r="D1" s="382"/>
      <c r="E1" s="382"/>
      <c r="F1" s="382"/>
      <c r="G1" s="382"/>
      <c r="H1" s="382"/>
      <c r="I1" s="382"/>
      <c r="J1" s="382"/>
      <c r="K1" s="382"/>
      <c r="L1" s="382"/>
      <c r="M1" s="250"/>
      <c r="N1" s="238"/>
      <c r="O1" s="238"/>
      <c r="P1" s="238"/>
      <c r="Q1" s="238"/>
    </row>
    <row r="2" spans="1:17" ht="14.4">
      <c r="A2" s="403" t="s">
        <v>4</v>
      </c>
      <c r="B2" s="386" t="s">
        <v>393</v>
      </c>
      <c r="C2" s="394" t="s">
        <v>394</v>
      </c>
      <c r="D2" s="383" t="s">
        <v>395</v>
      </c>
      <c r="E2" s="384"/>
      <c r="F2" s="384"/>
      <c r="G2" s="384"/>
      <c r="H2" s="384"/>
      <c r="I2" s="384"/>
      <c r="J2" s="384"/>
      <c r="K2" s="385"/>
      <c r="L2" s="394" t="s">
        <v>396</v>
      </c>
      <c r="M2" s="250"/>
      <c r="N2" s="238"/>
      <c r="O2" s="238"/>
      <c r="P2" s="238"/>
      <c r="Q2" s="238"/>
    </row>
    <row r="3" spans="1:17" ht="14.4">
      <c r="A3" s="403"/>
      <c r="B3" s="386"/>
      <c r="C3" s="386"/>
      <c r="D3" s="386" t="s">
        <v>397</v>
      </c>
      <c r="E3" s="386"/>
      <c r="F3" s="386"/>
      <c r="G3" s="386" t="s">
        <v>398</v>
      </c>
      <c r="H3" s="386" t="s">
        <v>399</v>
      </c>
      <c r="I3" s="394" t="s">
        <v>400</v>
      </c>
      <c r="J3" s="386" t="s">
        <v>401</v>
      </c>
      <c r="K3" s="392" t="s">
        <v>402</v>
      </c>
      <c r="L3" s="394"/>
      <c r="M3" s="250"/>
      <c r="N3" s="238"/>
      <c r="O3" s="238"/>
      <c r="P3" s="238"/>
      <c r="Q3" s="238"/>
    </row>
    <row r="4" spans="1:17" ht="21.6">
      <c r="A4" s="403"/>
      <c r="B4" s="386"/>
      <c r="C4" s="386"/>
      <c r="D4" s="207">
        <v>32.5</v>
      </c>
      <c r="E4" s="208" t="s">
        <v>403</v>
      </c>
      <c r="F4" s="208" t="s">
        <v>404</v>
      </c>
      <c r="G4" s="386"/>
      <c r="H4" s="386"/>
      <c r="I4" s="394"/>
      <c r="J4" s="386"/>
      <c r="K4" s="393"/>
      <c r="L4" s="394"/>
      <c r="M4" s="250"/>
      <c r="N4" s="387" t="s">
        <v>405</v>
      </c>
      <c r="O4" s="388"/>
      <c r="P4" s="388"/>
      <c r="Q4" s="389"/>
    </row>
    <row r="5" spans="1:17">
      <c r="A5" s="209">
        <v>1</v>
      </c>
      <c r="B5" s="210" t="s">
        <v>406</v>
      </c>
      <c r="C5" s="210"/>
      <c r="D5" s="210">
        <v>266</v>
      </c>
      <c r="E5" s="210"/>
      <c r="F5" s="210"/>
      <c r="G5" s="209">
        <v>1733</v>
      </c>
      <c r="H5" s="210"/>
      <c r="I5" s="210"/>
      <c r="J5" s="210"/>
      <c r="K5" s="210"/>
      <c r="L5" s="219">
        <f>D5/1000*Q10+G5/1000/Q18*Q8</f>
        <v>183.3</v>
      </c>
      <c r="M5" s="250"/>
      <c r="N5" s="251" t="s">
        <v>407</v>
      </c>
      <c r="O5" s="210" t="s">
        <v>408</v>
      </c>
      <c r="P5" s="210" t="s">
        <v>58</v>
      </c>
      <c r="Q5" s="279" t="s">
        <v>409</v>
      </c>
    </row>
    <row r="6" spans="1:17">
      <c r="A6" s="209">
        <v>2</v>
      </c>
      <c r="B6" s="210" t="s">
        <v>410</v>
      </c>
      <c r="C6" s="210"/>
      <c r="D6" s="211"/>
      <c r="E6" s="212">
        <v>260</v>
      </c>
      <c r="F6" s="210"/>
      <c r="G6" s="213">
        <v>862</v>
      </c>
      <c r="H6" s="213">
        <v>1054</v>
      </c>
      <c r="I6" s="252">
        <v>2.86</v>
      </c>
      <c r="J6" s="213">
        <v>172</v>
      </c>
      <c r="K6" s="253">
        <v>50</v>
      </c>
      <c r="L6" s="225">
        <f>E6/1000*$Q$11+G6/1000/$Q$18*$Q$8+H6/1000/$Q$19*$Q$9+I6*$Q$13+J6/1000*$Q$15+K6</f>
        <v>252.83</v>
      </c>
      <c r="M6" s="250"/>
      <c r="N6" s="251" t="s">
        <v>411</v>
      </c>
      <c r="O6" s="210" t="s">
        <v>412</v>
      </c>
      <c r="P6" s="210" t="s">
        <v>95</v>
      </c>
      <c r="Q6" s="280">
        <v>154.62</v>
      </c>
    </row>
    <row r="7" spans="1:17">
      <c r="A7" s="209">
        <v>3</v>
      </c>
      <c r="B7" s="210" t="s">
        <v>413</v>
      </c>
      <c r="C7" s="210"/>
      <c r="D7" s="211"/>
      <c r="E7" s="212">
        <v>320</v>
      </c>
      <c r="F7" s="210"/>
      <c r="G7" s="213">
        <v>801</v>
      </c>
      <c r="H7" s="213">
        <v>1106</v>
      </c>
      <c r="I7" s="252">
        <v>3.2</v>
      </c>
      <c r="J7" s="213">
        <v>170</v>
      </c>
      <c r="K7" s="253">
        <v>50</v>
      </c>
      <c r="L7" s="225">
        <f t="shared" ref="L7:L12" si="0">E7/1000*$Q$11+G7/1000/$Q$18*$Q$8+H7/1000/$Q$19*$Q$9+I7*$Q$13+J7/1000*$Q$15+K7</f>
        <v>277.64</v>
      </c>
      <c r="M7" s="250"/>
      <c r="N7" s="251"/>
      <c r="O7" s="210"/>
      <c r="P7" s="210"/>
      <c r="Q7" s="279"/>
    </row>
    <row r="8" spans="1:17">
      <c r="A8" s="209">
        <v>4</v>
      </c>
      <c r="B8" s="210" t="s">
        <v>414</v>
      </c>
      <c r="C8" s="210"/>
      <c r="D8" s="211"/>
      <c r="E8" s="212">
        <v>345</v>
      </c>
      <c r="F8" s="210"/>
      <c r="G8" s="213">
        <v>758</v>
      </c>
      <c r="H8" s="213">
        <v>1137</v>
      </c>
      <c r="I8" s="252">
        <v>4.1399999999999997</v>
      </c>
      <c r="J8" s="213">
        <v>155</v>
      </c>
      <c r="K8" s="253">
        <v>50</v>
      </c>
      <c r="L8" s="225">
        <f t="shared" si="0"/>
        <v>290.29000000000002</v>
      </c>
      <c r="M8" s="250"/>
      <c r="N8" s="251" t="s">
        <v>411</v>
      </c>
      <c r="O8" s="210"/>
      <c r="P8" s="210" t="s">
        <v>95</v>
      </c>
      <c r="Q8" s="280">
        <v>72.31</v>
      </c>
    </row>
    <row r="9" spans="1:17">
      <c r="A9" s="209">
        <v>5</v>
      </c>
      <c r="B9" s="210" t="s">
        <v>415</v>
      </c>
      <c r="C9" s="210"/>
      <c r="D9" s="211"/>
      <c r="E9" s="212">
        <v>365</v>
      </c>
      <c r="F9" s="210"/>
      <c r="G9" s="213">
        <v>769</v>
      </c>
      <c r="H9" s="213">
        <v>1106</v>
      </c>
      <c r="I9" s="252">
        <v>4.7450000000000001</v>
      </c>
      <c r="J9" s="213">
        <v>155</v>
      </c>
      <c r="K9" s="253">
        <v>50</v>
      </c>
      <c r="L9" s="225">
        <f t="shared" si="0"/>
        <v>299.64999999999998</v>
      </c>
      <c r="M9" s="250"/>
      <c r="N9" s="251" t="s">
        <v>399</v>
      </c>
      <c r="O9" s="210"/>
      <c r="P9" s="210" t="s">
        <v>95</v>
      </c>
      <c r="Q9" s="280">
        <v>67.81</v>
      </c>
    </row>
    <row r="10" spans="1:17">
      <c r="A10" s="209">
        <v>6</v>
      </c>
      <c r="B10" s="210" t="s">
        <v>416</v>
      </c>
      <c r="C10" s="210"/>
      <c r="D10" s="211"/>
      <c r="E10" s="212">
        <v>365</v>
      </c>
      <c r="F10" s="210"/>
      <c r="G10" s="213">
        <v>750</v>
      </c>
      <c r="H10" s="213">
        <v>1125</v>
      </c>
      <c r="I10" s="252">
        <v>4.38</v>
      </c>
      <c r="J10" s="213">
        <v>155</v>
      </c>
      <c r="K10" s="253">
        <v>50</v>
      </c>
      <c r="L10" s="225">
        <f t="shared" si="0"/>
        <v>298.31</v>
      </c>
      <c r="M10" s="250"/>
      <c r="N10" s="251" t="s">
        <v>397</v>
      </c>
      <c r="O10" s="210" t="s">
        <v>417</v>
      </c>
      <c r="P10" s="210" t="s">
        <v>418</v>
      </c>
      <c r="Q10" s="279">
        <f>材料价格表!E7</f>
        <v>375</v>
      </c>
    </row>
    <row r="11" spans="1:17">
      <c r="A11" s="209">
        <v>7</v>
      </c>
      <c r="B11" s="210" t="s">
        <v>419</v>
      </c>
      <c r="C11" s="210"/>
      <c r="D11" s="211"/>
      <c r="E11" s="214">
        <v>405</v>
      </c>
      <c r="F11" s="210"/>
      <c r="G11" s="81">
        <v>747</v>
      </c>
      <c r="H11" s="81">
        <v>1085</v>
      </c>
      <c r="I11" s="81">
        <v>5.19</v>
      </c>
      <c r="J11" s="81">
        <v>161</v>
      </c>
      <c r="K11" s="253">
        <v>50</v>
      </c>
      <c r="L11" s="225">
        <f t="shared" si="0"/>
        <v>315.41000000000003</v>
      </c>
      <c r="M11" s="250"/>
      <c r="N11" s="251" t="s">
        <v>397</v>
      </c>
      <c r="O11" s="210" t="s">
        <v>420</v>
      </c>
      <c r="P11" s="210" t="s">
        <v>418</v>
      </c>
      <c r="Q11" s="279">
        <f>材料价格表!E8</f>
        <v>405</v>
      </c>
    </row>
    <row r="12" spans="1:17">
      <c r="A12" s="209">
        <v>8</v>
      </c>
      <c r="B12" s="210" t="s">
        <v>421</v>
      </c>
      <c r="C12" s="210"/>
      <c r="D12" s="211"/>
      <c r="E12" s="212">
        <v>431</v>
      </c>
      <c r="F12" s="210"/>
      <c r="G12" s="213">
        <v>833</v>
      </c>
      <c r="H12" s="213">
        <v>1018</v>
      </c>
      <c r="I12" s="252">
        <v>6</v>
      </c>
      <c r="J12" s="213">
        <v>168</v>
      </c>
      <c r="K12" s="253">
        <v>50</v>
      </c>
      <c r="L12" s="225">
        <f t="shared" si="0"/>
        <v>329.95</v>
      </c>
      <c r="M12" s="250"/>
      <c r="N12" s="251" t="s">
        <v>397</v>
      </c>
      <c r="O12" s="210" t="s">
        <v>422</v>
      </c>
      <c r="P12" s="210" t="s">
        <v>418</v>
      </c>
      <c r="Q12" s="279">
        <f>材料价格表!E9</f>
        <v>445</v>
      </c>
    </row>
    <row r="13" spans="1:17">
      <c r="A13" s="209">
        <v>9</v>
      </c>
      <c r="B13" s="210" t="s">
        <v>423</v>
      </c>
      <c r="C13" s="210"/>
      <c r="D13" s="210"/>
      <c r="E13" s="210"/>
      <c r="F13" s="210">
        <v>488</v>
      </c>
      <c r="G13" s="213">
        <v>667</v>
      </c>
      <c r="H13" s="213">
        <v>1088</v>
      </c>
      <c r="I13" s="252">
        <v>4.88</v>
      </c>
      <c r="J13" s="213">
        <v>152</v>
      </c>
      <c r="K13" s="253">
        <v>50</v>
      </c>
      <c r="L13" s="225">
        <f>F13/1000*$Q$12+G13/1000/$Q$18*$Q$6+H13/1000/$Q$19*$Q$9+I13*$Q$13+J13/1000*$Q$15+K13</f>
        <v>400.35</v>
      </c>
      <c r="M13" s="250"/>
      <c r="N13" s="390" t="s">
        <v>424</v>
      </c>
      <c r="O13" s="391"/>
      <c r="P13" s="210" t="s">
        <v>425</v>
      </c>
      <c r="Q13" s="279">
        <f>材料价格表!E10</f>
        <v>3.45</v>
      </c>
    </row>
    <row r="14" spans="1:17">
      <c r="A14" s="209">
        <v>10</v>
      </c>
      <c r="B14" s="215" t="s">
        <v>426</v>
      </c>
      <c r="C14" s="210"/>
      <c r="D14" s="210"/>
      <c r="E14" s="210">
        <v>400</v>
      </c>
      <c r="F14" s="210"/>
      <c r="G14" s="210">
        <v>760</v>
      </c>
      <c r="H14" s="210">
        <v>856</v>
      </c>
      <c r="I14" s="254">
        <v>20</v>
      </c>
      <c r="J14" s="210">
        <v>160</v>
      </c>
      <c r="K14" s="253">
        <v>50</v>
      </c>
      <c r="L14" s="225">
        <f>E14/1000*$Q$11+G14/1000/$Q$18*$Q$8+H14/1000/$Q$19*$Q$9+I14*$Q$16+J14/1000*$Q$15+K14</f>
        <v>318.08999999999997</v>
      </c>
      <c r="M14" s="250"/>
      <c r="N14" s="416" t="s">
        <v>401</v>
      </c>
      <c r="O14" s="417"/>
      <c r="P14" s="412" t="s">
        <v>418</v>
      </c>
      <c r="Q14" s="414">
        <v>2</v>
      </c>
    </row>
    <row r="15" spans="1:17">
      <c r="A15" s="209">
        <v>11</v>
      </c>
      <c r="B15" s="215" t="s">
        <v>427</v>
      </c>
      <c r="C15" s="210"/>
      <c r="D15" s="210"/>
      <c r="E15" s="210">
        <v>495</v>
      </c>
      <c r="F15" s="210"/>
      <c r="G15" s="210">
        <v>687</v>
      </c>
      <c r="H15" s="210">
        <v>775</v>
      </c>
      <c r="I15" s="254">
        <v>29.7</v>
      </c>
      <c r="J15" s="210">
        <v>213</v>
      </c>
      <c r="K15" s="253">
        <v>50</v>
      </c>
      <c r="L15" s="225">
        <f>E15/1000*$Q$11+G15/1000/$Q$18*$Q$8+H15/1000/$Q$19*$Q$9+I15*$Q$16+J15/1000*$Q$15+K15</f>
        <v>365.02</v>
      </c>
      <c r="M15" s="250"/>
      <c r="N15" s="418"/>
      <c r="O15" s="419"/>
      <c r="P15" s="413"/>
      <c r="Q15" s="415"/>
    </row>
    <row r="16" spans="1:17">
      <c r="A16" s="209">
        <v>12</v>
      </c>
      <c r="B16" s="216" t="s">
        <v>428</v>
      </c>
      <c r="C16" s="210"/>
      <c r="D16" s="210"/>
      <c r="E16" s="210">
        <v>702</v>
      </c>
      <c r="F16" s="210"/>
      <c r="G16" s="210">
        <v>1060</v>
      </c>
      <c r="H16" s="210"/>
      <c r="I16" s="254"/>
      <c r="J16" s="210">
        <v>360</v>
      </c>
      <c r="K16" s="253">
        <v>50</v>
      </c>
      <c r="L16" s="225">
        <f>E16/1000*$Q$11+G16/1000/$Q$18*$Q$8+H16/1000/$Q$19*$Q$9+I16*$Q$16+J16/1000*$Q$15+K16</f>
        <v>385.41</v>
      </c>
      <c r="M16" s="250"/>
      <c r="N16" s="390" t="s">
        <v>429</v>
      </c>
      <c r="O16" s="391"/>
      <c r="P16" s="210" t="s">
        <v>425</v>
      </c>
      <c r="Q16" s="281">
        <f>材料价格表!E11</f>
        <v>1.6</v>
      </c>
    </row>
    <row r="17" spans="1:17" ht="17.399999999999999">
      <c r="A17" s="395" t="s">
        <v>430</v>
      </c>
      <c r="B17" s="395"/>
      <c r="C17" s="395"/>
      <c r="D17" s="395"/>
      <c r="E17" s="395"/>
      <c r="F17" s="395"/>
      <c r="G17" s="395"/>
      <c r="H17" s="395"/>
      <c r="I17" s="395"/>
      <c r="J17" s="395"/>
      <c r="K17" s="255"/>
      <c r="L17" s="256"/>
      <c r="M17" s="250"/>
      <c r="N17" s="396" t="s">
        <v>431</v>
      </c>
      <c r="O17" s="393"/>
      <c r="P17" s="393"/>
      <c r="Q17" s="397"/>
    </row>
    <row r="18" spans="1:17">
      <c r="A18" s="404" t="s">
        <v>394</v>
      </c>
      <c r="B18" s="404" t="s">
        <v>393</v>
      </c>
      <c r="C18" s="404" t="s">
        <v>432</v>
      </c>
      <c r="D18" s="398" t="s">
        <v>433</v>
      </c>
      <c r="E18" s="399"/>
      <c r="F18" s="400"/>
      <c r="G18" s="404" t="s">
        <v>434</v>
      </c>
      <c r="H18" s="404" t="s">
        <v>435</v>
      </c>
      <c r="I18" s="404" t="s">
        <v>436</v>
      </c>
      <c r="J18" s="404" t="s">
        <v>437</v>
      </c>
      <c r="K18" s="257"/>
      <c r="L18" s="258"/>
      <c r="M18" s="250"/>
      <c r="N18" s="390" t="s">
        <v>438</v>
      </c>
      <c r="O18" s="391"/>
      <c r="P18" s="210" t="s">
        <v>439</v>
      </c>
      <c r="Q18" s="279">
        <v>1.5</v>
      </c>
    </row>
    <row r="19" spans="1:17" ht="21.6">
      <c r="A19" s="405"/>
      <c r="B19" s="405"/>
      <c r="C19" s="405"/>
      <c r="D19" s="217">
        <v>32.5</v>
      </c>
      <c r="E19" s="217" t="s">
        <v>403</v>
      </c>
      <c r="F19" s="217" t="s">
        <v>404</v>
      </c>
      <c r="G19" s="405"/>
      <c r="H19" s="405"/>
      <c r="I19" s="405"/>
      <c r="J19" s="405"/>
      <c r="K19" s="257"/>
      <c r="L19" s="259"/>
      <c r="M19" s="250"/>
      <c r="N19" s="421" t="s">
        <v>440</v>
      </c>
      <c r="O19" s="422"/>
      <c r="P19" s="260" t="s">
        <v>439</v>
      </c>
      <c r="Q19" s="282">
        <v>1.55</v>
      </c>
    </row>
    <row r="20" spans="1:17" ht="14.4" hidden="1">
      <c r="A20" s="406" t="s">
        <v>441</v>
      </c>
      <c r="B20" s="210" t="s">
        <v>406</v>
      </c>
      <c r="C20" s="218"/>
      <c r="D20" s="219">
        <f>C20*D5/1000</f>
        <v>0</v>
      </c>
      <c r="E20" s="220"/>
      <c r="F20" s="219"/>
      <c r="G20" s="220">
        <f>C20*G5/1000/$Q$18</f>
        <v>0</v>
      </c>
      <c r="H20" s="220"/>
      <c r="I20" s="220"/>
      <c r="J20" s="220"/>
      <c r="K20" s="261"/>
      <c r="L20" s="262"/>
      <c r="M20" s="262"/>
      <c r="N20" s="238"/>
      <c r="O20" s="238"/>
      <c r="P20" s="238"/>
      <c r="Q20" s="238"/>
    </row>
    <row r="21" spans="1:17" ht="17.399999999999999" hidden="1">
      <c r="A21" s="407"/>
      <c r="B21" s="210" t="s">
        <v>410</v>
      </c>
      <c r="C21" s="221" t="e">
        <f>#REF!</f>
        <v>#REF!</v>
      </c>
      <c r="D21" s="219"/>
      <c r="E21" s="220" t="e">
        <f>C21*E6/1000</f>
        <v>#REF!</v>
      </c>
      <c r="F21" s="219"/>
      <c r="G21" s="220" t="e">
        <f t="shared" ref="G21:G24" si="1">C21*G6/1000/$Q$18</f>
        <v>#REF!</v>
      </c>
      <c r="H21" s="220" t="e">
        <f>C21*H6/1000/$Q$19</f>
        <v>#REF!</v>
      </c>
      <c r="I21" s="263" t="e">
        <f>C21*I6/1000</f>
        <v>#REF!</v>
      </c>
      <c r="J21" s="264" t="e">
        <f>C21*J6/1000</f>
        <v>#REF!</v>
      </c>
      <c r="K21" s="265"/>
      <c r="L21" s="262"/>
      <c r="M21" s="262"/>
      <c r="N21" s="423"/>
      <c r="O21" s="423"/>
      <c r="P21" s="423"/>
      <c r="Q21" s="423"/>
    </row>
    <row r="22" spans="1:17" hidden="1">
      <c r="A22" s="407"/>
      <c r="B22" s="210" t="s">
        <v>413</v>
      </c>
      <c r="C22" s="221" t="e">
        <f>#REF!</f>
        <v>#REF!</v>
      </c>
      <c r="D22" s="219"/>
      <c r="E22" s="220" t="e">
        <f t="shared" ref="E22:E24" si="2">C22*E7/1000</f>
        <v>#REF!</v>
      </c>
      <c r="F22" s="219"/>
      <c r="G22" s="220" t="e">
        <f t="shared" si="1"/>
        <v>#REF!</v>
      </c>
      <c r="H22" s="220" t="e">
        <f t="shared" ref="H22:H24" si="3">C22*H7/1000/$Q$19</f>
        <v>#REF!</v>
      </c>
      <c r="I22" s="263" t="e">
        <f t="shared" ref="I22:I24" si="4">C22*I7/1000</f>
        <v>#REF!</v>
      </c>
      <c r="J22" s="264" t="e">
        <f t="shared" ref="J22:J24" si="5">C22*J7/1000</f>
        <v>#REF!</v>
      </c>
      <c r="K22" s="265"/>
      <c r="L22" s="250"/>
      <c r="M22" s="250"/>
      <c r="N22" s="266"/>
      <c r="O22" s="266"/>
      <c r="P22" s="262"/>
      <c r="Q22" s="262"/>
    </row>
    <row r="23" spans="1:17" hidden="1">
      <c r="A23" s="407"/>
      <c r="B23" s="210" t="s">
        <v>414</v>
      </c>
      <c r="C23" s="221" t="e">
        <f>#REF!</f>
        <v>#REF!</v>
      </c>
      <c r="D23" s="219"/>
      <c r="E23" s="220" t="e">
        <f t="shared" si="2"/>
        <v>#REF!</v>
      </c>
      <c r="F23" s="219"/>
      <c r="G23" s="220" t="e">
        <f t="shared" si="1"/>
        <v>#REF!</v>
      </c>
      <c r="H23" s="220" t="e">
        <f t="shared" si="3"/>
        <v>#REF!</v>
      </c>
      <c r="I23" s="263" t="e">
        <f t="shared" si="4"/>
        <v>#REF!</v>
      </c>
      <c r="J23" s="264" t="e">
        <f t="shared" si="5"/>
        <v>#REF!</v>
      </c>
      <c r="K23" s="265"/>
      <c r="L23" s="250"/>
      <c r="M23" s="250"/>
      <c r="N23" s="262"/>
      <c r="O23" s="262"/>
      <c r="P23" s="262"/>
      <c r="Q23" s="262"/>
    </row>
    <row r="24" spans="1:17" hidden="1">
      <c r="A24" s="407"/>
      <c r="B24" s="210" t="s">
        <v>415</v>
      </c>
      <c r="C24" s="221" t="e">
        <f>#REF!</f>
        <v>#REF!</v>
      </c>
      <c r="D24" s="219"/>
      <c r="E24" s="220" t="e">
        <f t="shared" si="2"/>
        <v>#REF!</v>
      </c>
      <c r="F24" s="219"/>
      <c r="G24" s="220" t="e">
        <f t="shared" si="1"/>
        <v>#REF!</v>
      </c>
      <c r="H24" s="220" t="e">
        <f t="shared" si="3"/>
        <v>#REF!</v>
      </c>
      <c r="I24" s="263" t="e">
        <f t="shared" si="4"/>
        <v>#REF!</v>
      </c>
      <c r="J24" s="264" t="e">
        <f t="shared" si="5"/>
        <v>#REF!</v>
      </c>
      <c r="K24" s="265"/>
      <c r="L24" s="250"/>
      <c r="M24" s="250"/>
      <c r="N24" s="266"/>
      <c r="O24" s="262"/>
      <c r="P24" s="262"/>
      <c r="Q24" s="283"/>
    </row>
    <row r="25" spans="1:17" hidden="1">
      <c r="A25" s="407"/>
      <c r="B25" s="211"/>
      <c r="C25" s="211"/>
      <c r="D25" s="211"/>
      <c r="E25" s="211"/>
      <c r="F25" s="211"/>
      <c r="G25" s="211"/>
      <c r="H25" s="211"/>
      <c r="I25" s="211"/>
      <c r="J25" s="267"/>
      <c r="K25" s="268"/>
      <c r="L25" s="250"/>
      <c r="M25" s="250"/>
      <c r="N25" s="266"/>
      <c r="O25" s="262"/>
      <c r="P25" s="262"/>
      <c r="Q25" s="283"/>
    </row>
    <row r="26" spans="1:17" hidden="1">
      <c r="A26" s="407"/>
      <c r="B26" s="211"/>
      <c r="C26" s="211"/>
      <c r="D26" s="211"/>
      <c r="E26" s="211"/>
      <c r="F26" s="211"/>
      <c r="G26" s="211"/>
      <c r="H26" s="211"/>
      <c r="I26" s="211"/>
      <c r="J26" s="267"/>
      <c r="K26" s="268"/>
      <c r="L26" s="250"/>
      <c r="M26" s="250"/>
      <c r="N26" s="266"/>
      <c r="O26" s="262"/>
      <c r="P26" s="262"/>
      <c r="Q26" s="283"/>
    </row>
    <row r="27" spans="1:17" ht="14.4" hidden="1">
      <c r="A27" s="408"/>
      <c r="B27" s="222" t="s">
        <v>260</v>
      </c>
      <c r="C27" s="223" t="e">
        <f>SUM(C21:C24)</f>
        <v>#REF!</v>
      </c>
      <c r="D27" s="224">
        <f>SUM(D20:D24)</f>
        <v>0</v>
      </c>
      <c r="E27" s="224" t="e">
        <f t="shared" ref="E27:J27" si="6">SUM(E20:E24)</f>
        <v>#REF!</v>
      </c>
      <c r="F27" s="224">
        <f t="shared" si="6"/>
        <v>0</v>
      </c>
      <c r="G27" s="224" t="e">
        <f t="shared" si="6"/>
        <v>#REF!</v>
      </c>
      <c r="H27" s="224" t="e">
        <f t="shared" si="6"/>
        <v>#REF!</v>
      </c>
      <c r="I27" s="224" t="e">
        <f t="shared" si="6"/>
        <v>#REF!</v>
      </c>
      <c r="J27" s="269" t="e">
        <f t="shared" si="6"/>
        <v>#REF!</v>
      </c>
      <c r="K27" s="270"/>
      <c r="L27" s="250"/>
      <c r="M27" s="250"/>
      <c r="N27" s="266"/>
      <c r="O27" s="271"/>
      <c r="P27" s="271"/>
      <c r="Q27" s="271"/>
    </row>
    <row r="28" spans="1:17" hidden="1">
      <c r="A28" s="406" t="s">
        <v>442</v>
      </c>
      <c r="B28" s="210" t="s">
        <v>443</v>
      </c>
      <c r="C28" s="225"/>
      <c r="D28" s="219"/>
      <c r="E28" s="220">
        <f>C28*E6/1000</f>
        <v>0</v>
      </c>
      <c r="F28" s="219"/>
      <c r="G28" s="220">
        <f>C28*G6/1000/$Q$18</f>
        <v>0</v>
      </c>
      <c r="H28" s="220">
        <f>C28*H6/1000/$Q$19</f>
        <v>0</v>
      </c>
      <c r="I28" s="263">
        <f>C28*I6/1000</f>
        <v>0</v>
      </c>
      <c r="J28" s="264">
        <f>C28*J6/1000</f>
        <v>0</v>
      </c>
      <c r="K28" s="265"/>
      <c r="L28" s="250"/>
      <c r="M28" s="250"/>
      <c r="N28" s="266"/>
      <c r="O28" s="266"/>
      <c r="P28" s="262"/>
      <c r="Q28" s="262"/>
    </row>
    <row r="29" spans="1:17" hidden="1">
      <c r="A29" s="407"/>
      <c r="B29" s="210" t="s">
        <v>444</v>
      </c>
      <c r="C29" s="225" t="e">
        <f>#REF!</f>
        <v>#REF!</v>
      </c>
      <c r="D29" s="226"/>
      <c r="E29" s="220" t="e">
        <f t="shared" ref="E29:E34" si="7">C29*E7/1000</f>
        <v>#REF!</v>
      </c>
      <c r="F29" s="219"/>
      <c r="G29" s="220" t="e">
        <f t="shared" ref="G29:G35" si="8">C29*G7/1000/$Q$18</f>
        <v>#REF!</v>
      </c>
      <c r="H29" s="220" t="e">
        <f t="shared" ref="H29:H35" si="9">C29*H7/1000/$Q$19</f>
        <v>#REF!</v>
      </c>
      <c r="I29" s="263" t="e">
        <f t="shared" ref="I29:I35" si="10">C29*I7/1000</f>
        <v>#REF!</v>
      </c>
      <c r="J29" s="264" t="e">
        <f t="shared" ref="J29:J35" si="11">C29*J7/1000</f>
        <v>#REF!</v>
      </c>
      <c r="K29" s="265"/>
      <c r="L29" s="250"/>
      <c r="M29" s="250"/>
      <c r="N29" s="272"/>
      <c r="O29" s="272"/>
      <c r="P29" s="250"/>
      <c r="Q29" s="261"/>
    </row>
    <row r="30" spans="1:17" hidden="1">
      <c r="A30" s="407"/>
      <c r="B30" s="227" t="s">
        <v>445</v>
      </c>
      <c r="C30" s="225" t="e">
        <f>#REF!</f>
        <v>#REF!</v>
      </c>
      <c r="D30" s="219"/>
      <c r="E30" s="220" t="e">
        <f t="shared" si="7"/>
        <v>#REF!</v>
      </c>
      <c r="F30" s="219"/>
      <c r="G30" s="220" t="e">
        <f t="shared" si="8"/>
        <v>#REF!</v>
      </c>
      <c r="H30" s="220" t="e">
        <f t="shared" si="9"/>
        <v>#REF!</v>
      </c>
      <c r="I30" s="263" t="e">
        <f t="shared" si="10"/>
        <v>#REF!</v>
      </c>
      <c r="J30" s="264" t="e">
        <f t="shared" si="11"/>
        <v>#REF!</v>
      </c>
      <c r="K30" s="265"/>
      <c r="L30" s="250"/>
      <c r="M30" s="250"/>
      <c r="N30" s="272"/>
      <c r="O30" s="272"/>
      <c r="P30" s="250"/>
      <c r="Q30" s="261"/>
    </row>
    <row r="31" spans="1:17" hidden="1">
      <c r="A31" s="407"/>
      <c r="B31" s="227" t="s">
        <v>446</v>
      </c>
      <c r="C31" s="225" t="e">
        <f>#REF!</f>
        <v>#REF!</v>
      </c>
      <c r="D31" s="219"/>
      <c r="E31" s="220" t="e">
        <f t="shared" si="7"/>
        <v>#REF!</v>
      </c>
      <c r="F31" s="219"/>
      <c r="G31" s="220" t="e">
        <f t="shared" si="8"/>
        <v>#REF!</v>
      </c>
      <c r="H31" s="220" t="e">
        <f t="shared" si="9"/>
        <v>#REF!</v>
      </c>
      <c r="I31" s="263" t="e">
        <f t="shared" si="10"/>
        <v>#REF!</v>
      </c>
      <c r="J31" s="264" t="e">
        <f t="shared" si="11"/>
        <v>#REF!</v>
      </c>
      <c r="K31" s="265"/>
      <c r="L31" s="250"/>
      <c r="M31" s="250"/>
      <c r="N31" s="272"/>
      <c r="O31" s="272"/>
      <c r="P31" s="250"/>
      <c r="Q31" s="261"/>
    </row>
    <row r="32" spans="1:17" hidden="1">
      <c r="A32" s="407"/>
      <c r="B32" s="227" t="s">
        <v>416</v>
      </c>
      <c r="C32" s="225" t="e">
        <f>#REF!</f>
        <v>#REF!</v>
      </c>
      <c r="D32" s="219"/>
      <c r="E32" s="220" t="e">
        <f t="shared" si="7"/>
        <v>#REF!</v>
      </c>
      <c r="F32" s="219"/>
      <c r="G32" s="220" t="e">
        <f t="shared" si="8"/>
        <v>#REF!</v>
      </c>
      <c r="H32" s="220" t="e">
        <f t="shared" si="9"/>
        <v>#REF!</v>
      </c>
      <c r="I32" s="263" t="e">
        <f t="shared" si="10"/>
        <v>#REF!</v>
      </c>
      <c r="J32" s="264" t="e">
        <f t="shared" si="11"/>
        <v>#REF!</v>
      </c>
      <c r="K32" s="265"/>
      <c r="L32" s="250"/>
      <c r="M32" s="250"/>
      <c r="N32" s="272"/>
      <c r="O32" s="272"/>
      <c r="P32" s="250"/>
      <c r="Q32" s="261"/>
    </row>
    <row r="33" spans="1:17" hidden="1">
      <c r="A33" s="407"/>
      <c r="B33" s="227" t="s">
        <v>447</v>
      </c>
      <c r="C33" s="225" t="e">
        <f>#REF!</f>
        <v>#REF!</v>
      </c>
      <c r="D33" s="219"/>
      <c r="E33" s="220" t="e">
        <f t="shared" si="7"/>
        <v>#REF!</v>
      </c>
      <c r="F33" s="219"/>
      <c r="G33" s="220" t="e">
        <f t="shared" si="8"/>
        <v>#REF!</v>
      </c>
      <c r="H33" s="220" t="e">
        <f t="shared" si="9"/>
        <v>#REF!</v>
      </c>
      <c r="I33" s="263" t="e">
        <f t="shared" si="10"/>
        <v>#REF!</v>
      </c>
      <c r="J33" s="264" t="e">
        <f t="shared" si="11"/>
        <v>#REF!</v>
      </c>
      <c r="K33" s="265"/>
      <c r="L33" s="250"/>
      <c r="M33" s="250"/>
      <c r="N33" s="272"/>
      <c r="O33" s="272"/>
      <c r="P33" s="250"/>
      <c r="Q33" s="261"/>
    </row>
    <row r="34" spans="1:17" hidden="1">
      <c r="A34" s="407"/>
      <c r="B34" s="227" t="s">
        <v>448</v>
      </c>
      <c r="C34" s="225" t="e">
        <f>#REF!</f>
        <v>#REF!</v>
      </c>
      <c r="D34" s="219"/>
      <c r="E34" s="220" t="e">
        <f t="shared" si="7"/>
        <v>#REF!</v>
      </c>
      <c r="F34" s="219"/>
      <c r="G34" s="220" t="e">
        <f t="shared" si="8"/>
        <v>#REF!</v>
      </c>
      <c r="H34" s="220" t="e">
        <f t="shared" si="9"/>
        <v>#REF!</v>
      </c>
      <c r="I34" s="263" t="e">
        <f t="shared" si="10"/>
        <v>#REF!</v>
      </c>
      <c r="J34" s="264" t="e">
        <f t="shared" si="11"/>
        <v>#REF!</v>
      </c>
      <c r="K34" s="265"/>
      <c r="L34" s="250"/>
      <c r="M34" s="250"/>
      <c r="N34" s="272"/>
      <c r="O34" s="272"/>
      <c r="P34" s="250"/>
      <c r="Q34" s="284"/>
    </row>
    <row r="35" spans="1:17" hidden="1">
      <c r="A35" s="407"/>
      <c r="B35" s="227" t="s">
        <v>449</v>
      </c>
      <c r="C35" s="225" t="e">
        <f>#REF!</f>
        <v>#REF!</v>
      </c>
      <c r="D35" s="211"/>
      <c r="E35" s="220"/>
      <c r="F35" s="220" t="e">
        <f>C35*F13/1000</f>
        <v>#REF!</v>
      </c>
      <c r="G35" s="220" t="e">
        <f t="shared" si="8"/>
        <v>#REF!</v>
      </c>
      <c r="H35" s="220" t="e">
        <f t="shared" si="9"/>
        <v>#REF!</v>
      </c>
      <c r="I35" s="263" t="e">
        <f t="shared" si="10"/>
        <v>#REF!</v>
      </c>
      <c r="J35" s="264" t="e">
        <f t="shared" si="11"/>
        <v>#REF!</v>
      </c>
      <c r="K35" s="265"/>
      <c r="L35" s="250"/>
      <c r="M35" s="250"/>
      <c r="N35" s="272"/>
      <c r="O35" s="272"/>
      <c r="P35" s="250"/>
      <c r="Q35" s="261"/>
    </row>
    <row r="36" spans="1:17" hidden="1">
      <c r="A36" s="407"/>
      <c r="B36" s="211"/>
      <c r="C36" s="228"/>
      <c r="D36" s="211"/>
      <c r="E36" s="211"/>
      <c r="F36" s="211"/>
      <c r="G36" s="211"/>
      <c r="H36" s="211"/>
      <c r="I36" s="211"/>
      <c r="J36" s="267"/>
      <c r="K36" s="268"/>
      <c r="L36" s="250"/>
      <c r="M36" s="250"/>
      <c r="N36" s="272"/>
      <c r="O36" s="272"/>
      <c r="P36" s="250"/>
      <c r="Q36" s="261"/>
    </row>
    <row r="37" spans="1:17" hidden="1">
      <c r="A37" s="407"/>
      <c r="B37" s="211"/>
      <c r="C37" s="211"/>
      <c r="D37" s="211"/>
      <c r="E37" s="211"/>
      <c r="F37" s="211"/>
      <c r="G37" s="211"/>
      <c r="H37" s="211"/>
      <c r="I37" s="211"/>
      <c r="J37" s="267"/>
      <c r="K37" s="268"/>
      <c r="L37" s="250"/>
      <c r="M37" s="250"/>
      <c r="N37" s="272"/>
      <c r="O37" s="272"/>
      <c r="P37" s="250"/>
      <c r="Q37" s="284"/>
    </row>
    <row r="38" spans="1:17" hidden="1">
      <c r="A38" s="408"/>
      <c r="B38" s="222" t="s">
        <v>260</v>
      </c>
      <c r="C38" s="229" t="e">
        <f>SUM(C28:C37)</f>
        <v>#REF!</v>
      </c>
      <c r="D38" s="230">
        <f t="shared" ref="D38:J38" si="12">SUM(D28:D37)</f>
        <v>0</v>
      </c>
      <c r="E38" s="230" t="e">
        <f t="shared" si="12"/>
        <v>#REF!</v>
      </c>
      <c r="F38" s="230" t="e">
        <f t="shared" si="12"/>
        <v>#REF!</v>
      </c>
      <c r="G38" s="230" t="e">
        <f t="shared" si="12"/>
        <v>#REF!</v>
      </c>
      <c r="H38" s="230" t="e">
        <f t="shared" si="12"/>
        <v>#REF!</v>
      </c>
      <c r="I38" s="230" t="e">
        <f t="shared" si="12"/>
        <v>#REF!</v>
      </c>
      <c r="J38" s="273" t="e">
        <f t="shared" si="12"/>
        <v>#REF!</v>
      </c>
      <c r="K38" s="274"/>
      <c r="L38" s="250"/>
      <c r="M38" s="250"/>
      <c r="N38" s="272"/>
      <c r="O38" s="272"/>
      <c r="P38" s="250"/>
      <c r="Q38" s="285"/>
    </row>
    <row r="39" spans="1:17" hidden="1">
      <c r="A39" s="409" t="s">
        <v>450</v>
      </c>
      <c r="B39" s="210" t="s">
        <v>443</v>
      </c>
      <c r="C39" s="231" t="e">
        <f>#REF!+#REF!*0.15</f>
        <v>#REF!</v>
      </c>
      <c r="D39" s="232"/>
      <c r="E39" s="220" t="e">
        <f>C39*E6/1000</f>
        <v>#REF!</v>
      </c>
      <c r="F39" s="219"/>
      <c r="G39" s="220" t="e">
        <f>C39*G6/1000/$Q$18</f>
        <v>#REF!</v>
      </c>
      <c r="H39" s="220" t="e">
        <f>C39*H6/1000/$Q$19</f>
        <v>#REF!</v>
      </c>
      <c r="I39" s="263" t="e">
        <f>C39*I6/1000</f>
        <v>#REF!</v>
      </c>
      <c r="J39" s="264" t="e">
        <f>C39*J6/1000</f>
        <v>#REF!</v>
      </c>
      <c r="K39" s="265"/>
      <c r="L39" s="250"/>
      <c r="M39" s="250"/>
      <c r="N39" s="250"/>
      <c r="O39" s="250"/>
      <c r="P39" s="250"/>
      <c r="Q39" s="285"/>
    </row>
    <row r="40" spans="1:17" hidden="1">
      <c r="A40" s="410"/>
      <c r="B40" s="210" t="s">
        <v>444</v>
      </c>
      <c r="C40" s="231" t="e">
        <f>#REF!+#REF!*0.2</f>
        <v>#REF!</v>
      </c>
      <c r="D40" s="232"/>
      <c r="E40" s="220" t="e">
        <f t="shared" ref="E40:E42" si="13">C40*E7/1000</f>
        <v>#REF!</v>
      </c>
      <c r="F40" s="232"/>
      <c r="G40" s="220" t="e">
        <f t="shared" ref="G40:G42" si="14">C40*G7/1000/$Q$18</f>
        <v>#REF!</v>
      </c>
      <c r="H40" s="220" t="e">
        <f t="shared" ref="H40:H42" si="15">C40*H7/1000/$Q$19</f>
        <v>#REF!</v>
      </c>
      <c r="I40" s="263" t="e">
        <f t="shared" ref="I40:I42" si="16">C40*I7/1000</f>
        <v>#REF!</v>
      </c>
      <c r="J40" s="275" t="e">
        <f t="shared" ref="J40:J42" si="17">C40*J7/1000</f>
        <v>#REF!</v>
      </c>
      <c r="K40" s="276"/>
      <c r="L40" s="250"/>
      <c r="M40" s="250"/>
      <c r="N40" s="250"/>
      <c r="O40" s="250"/>
      <c r="P40" s="250"/>
      <c r="Q40" s="285"/>
    </row>
    <row r="41" spans="1:17" hidden="1">
      <c r="A41" s="410"/>
      <c r="B41" s="227" t="s">
        <v>445</v>
      </c>
      <c r="C41" s="231" t="e">
        <f>#REF!</f>
        <v>#REF!</v>
      </c>
      <c r="D41" s="232"/>
      <c r="E41" s="220" t="e">
        <f t="shared" si="13"/>
        <v>#REF!</v>
      </c>
      <c r="F41" s="232"/>
      <c r="G41" s="220" t="e">
        <f t="shared" si="14"/>
        <v>#REF!</v>
      </c>
      <c r="H41" s="220" t="e">
        <f t="shared" si="15"/>
        <v>#REF!</v>
      </c>
      <c r="I41" s="263" t="e">
        <f t="shared" si="16"/>
        <v>#REF!</v>
      </c>
      <c r="J41" s="275" t="e">
        <f t="shared" si="17"/>
        <v>#REF!</v>
      </c>
      <c r="K41" s="276"/>
      <c r="L41" s="250"/>
      <c r="M41" s="250"/>
      <c r="N41" s="250"/>
      <c r="O41" s="250"/>
      <c r="P41" s="250"/>
      <c r="Q41" s="285"/>
    </row>
    <row r="42" spans="1:17" hidden="1">
      <c r="A42" s="410"/>
      <c r="B42" s="227" t="s">
        <v>446</v>
      </c>
      <c r="C42" s="231" t="e">
        <f>#REF!</f>
        <v>#REF!</v>
      </c>
      <c r="D42" s="232"/>
      <c r="E42" s="220" t="e">
        <f t="shared" si="13"/>
        <v>#REF!</v>
      </c>
      <c r="F42" s="232"/>
      <c r="G42" s="220" t="e">
        <f t="shared" si="14"/>
        <v>#REF!</v>
      </c>
      <c r="H42" s="220" t="e">
        <f t="shared" si="15"/>
        <v>#REF!</v>
      </c>
      <c r="I42" s="263" t="e">
        <f t="shared" si="16"/>
        <v>#REF!</v>
      </c>
      <c r="J42" s="275" t="e">
        <f t="shared" si="17"/>
        <v>#REF!</v>
      </c>
      <c r="K42" s="276"/>
      <c r="L42" s="250"/>
      <c r="M42" s="250"/>
      <c r="N42" s="250"/>
      <c r="O42" s="250"/>
      <c r="P42" s="250"/>
      <c r="Q42" s="285"/>
    </row>
    <row r="43" spans="1:17" hidden="1">
      <c r="A43" s="410"/>
      <c r="B43" s="227" t="s">
        <v>447</v>
      </c>
      <c r="C43" s="231"/>
      <c r="D43" s="232"/>
      <c r="E43" s="220">
        <f>C43*E11/1000</f>
        <v>0</v>
      </c>
      <c r="F43" s="232"/>
      <c r="G43" s="220">
        <f>C43*G11/1000/$Q$18</f>
        <v>0</v>
      </c>
      <c r="H43" s="220">
        <f>C43*H11/1000/$Q$19</f>
        <v>0</v>
      </c>
      <c r="I43" s="263">
        <f>C43*I11/1000</f>
        <v>0</v>
      </c>
      <c r="J43" s="275">
        <f>C43*J11/1000</f>
        <v>0</v>
      </c>
      <c r="K43" s="276"/>
      <c r="L43" s="250"/>
      <c r="M43" s="250"/>
      <c r="N43" s="250"/>
      <c r="O43" s="250"/>
      <c r="P43" s="250"/>
      <c r="Q43" s="285"/>
    </row>
    <row r="44" spans="1:17" hidden="1">
      <c r="A44" s="410"/>
      <c r="B44" s="227" t="s">
        <v>448</v>
      </c>
      <c r="C44" s="231" t="e">
        <f>#REF!+#REF!*0.28</f>
        <v>#REF!</v>
      </c>
      <c r="D44" s="232"/>
      <c r="E44" s="220" t="e">
        <f>C44*E12/1000</f>
        <v>#REF!</v>
      </c>
      <c r="F44" s="232"/>
      <c r="G44" s="220" t="e">
        <f>C44*G12/1000/$Q$18</f>
        <v>#REF!</v>
      </c>
      <c r="H44" s="220" t="e">
        <f>C44*H12/1000/$Q$19</f>
        <v>#REF!</v>
      </c>
      <c r="I44" s="263" t="e">
        <f>C44*I12/1000</f>
        <v>#REF!</v>
      </c>
      <c r="J44" s="275" t="e">
        <f>C44*J12/1000</f>
        <v>#REF!</v>
      </c>
      <c r="K44" s="276"/>
      <c r="L44" s="250"/>
      <c r="M44" s="250"/>
      <c r="N44" s="250"/>
      <c r="O44" s="250"/>
      <c r="P44" s="250"/>
      <c r="Q44" s="285"/>
    </row>
    <row r="45" spans="1:17" hidden="1">
      <c r="A45" s="410"/>
      <c r="B45" s="227" t="s">
        <v>449</v>
      </c>
      <c r="C45" s="231"/>
      <c r="D45" s="232"/>
      <c r="E45" s="220">
        <f>C45*E13/1000</f>
        <v>0</v>
      </c>
      <c r="F45" s="220">
        <f>C45*F13/1000</f>
        <v>0</v>
      </c>
      <c r="G45" s="220">
        <f>C45*G13/1000/$Q$18</f>
        <v>0</v>
      </c>
      <c r="H45" s="220">
        <f>C45*H13/1000/$Q$19</f>
        <v>0</v>
      </c>
      <c r="I45" s="263">
        <f>C45*I13/1000</f>
        <v>0</v>
      </c>
      <c r="J45" s="275">
        <f>C45*J13/1000</f>
        <v>0</v>
      </c>
      <c r="K45" s="265"/>
      <c r="L45" s="250"/>
      <c r="M45" s="250"/>
      <c r="N45" s="250"/>
      <c r="O45" s="250"/>
      <c r="P45" s="250"/>
      <c r="Q45" s="285"/>
    </row>
    <row r="46" spans="1:17" hidden="1">
      <c r="A46" s="410"/>
      <c r="B46" s="233" t="s">
        <v>451</v>
      </c>
      <c r="C46" s="231" t="e">
        <f>#REF!+#REF!+#REF!+#REF!</f>
        <v>#REF!</v>
      </c>
      <c r="D46" s="232"/>
      <c r="E46" s="220" t="e">
        <f>C46*E15/1000</f>
        <v>#REF!</v>
      </c>
      <c r="F46" s="220"/>
      <c r="G46" s="220" t="e">
        <f>C46*G15/1000/$Q$18</f>
        <v>#REF!</v>
      </c>
      <c r="H46" s="220" t="e">
        <f>C46*H15/1000/$Q$19</f>
        <v>#REF!</v>
      </c>
      <c r="I46" s="277" t="e">
        <f>C46*I15/1000</f>
        <v>#REF!</v>
      </c>
      <c r="J46" s="275" t="e">
        <f>C46*J15/1000</f>
        <v>#REF!</v>
      </c>
      <c r="K46" s="265"/>
      <c r="L46" s="250"/>
      <c r="M46" s="250"/>
      <c r="N46" s="250"/>
      <c r="O46" s="250"/>
      <c r="P46" s="250"/>
      <c r="Q46" s="285"/>
    </row>
    <row r="47" spans="1:17" hidden="1">
      <c r="A47" s="410"/>
      <c r="B47" s="234" t="s">
        <v>452</v>
      </c>
      <c r="C47" s="231" t="e">
        <f>#REF!</f>
        <v>#REF!</v>
      </c>
      <c r="D47" s="232"/>
      <c r="E47" s="220" t="e">
        <f>C47*E16/1000</f>
        <v>#REF!</v>
      </c>
      <c r="F47" s="220"/>
      <c r="G47" s="220" t="e">
        <f>C47*G16/1000/$Q$18</f>
        <v>#REF!</v>
      </c>
      <c r="H47" s="220"/>
      <c r="I47" s="277"/>
      <c r="J47" s="275" t="e">
        <f>C47*J16/1000</f>
        <v>#REF!</v>
      </c>
      <c r="K47" s="265"/>
      <c r="L47" s="250"/>
      <c r="M47" s="250"/>
      <c r="N47" s="250"/>
      <c r="O47" s="250"/>
      <c r="P47" s="250"/>
      <c r="Q47" s="285"/>
    </row>
    <row r="48" spans="1:17" hidden="1">
      <c r="A48" s="411"/>
      <c r="B48" s="222" t="s">
        <v>260</v>
      </c>
      <c r="C48" s="229" t="e">
        <f t="shared" ref="C48:J48" si="18">SUM(C39:C47)</f>
        <v>#REF!</v>
      </c>
      <c r="D48" s="229">
        <f t="shared" si="18"/>
        <v>0</v>
      </c>
      <c r="E48" s="229" t="e">
        <f t="shared" si="18"/>
        <v>#REF!</v>
      </c>
      <c r="F48" s="229">
        <f t="shared" si="18"/>
        <v>0</v>
      </c>
      <c r="G48" s="229" t="e">
        <f t="shared" si="18"/>
        <v>#REF!</v>
      </c>
      <c r="H48" s="229" t="e">
        <f t="shared" si="18"/>
        <v>#REF!</v>
      </c>
      <c r="I48" s="229" t="e">
        <f t="shared" si="18"/>
        <v>#REF!</v>
      </c>
      <c r="J48" s="229" t="e">
        <f t="shared" si="18"/>
        <v>#REF!</v>
      </c>
      <c r="K48" s="274"/>
      <c r="L48" s="250"/>
      <c r="M48" s="250"/>
      <c r="N48" s="250"/>
      <c r="O48" s="250"/>
      <c r="P48" s="250"/>
      <c r="Q48" s="285"/>
    </row>
    <row r="49" spans="1:17" ht="14.4" hidden="1">
      <c r="A49" s="401" t="s">
        <v>453</v>
      </c>
      <c r="B49" s="402"/>
      <c r="C49" s="235" t="e">
        <f t="shared" ref="C49:J49" si="19">C48+C38+C27</f>
        <v>#REF!</v>
      </c>
      <c r="D49" s="235">
        <f t="shared" si="19"/>
        <v>0</v>
      </c>
      <c r="E49" s="235" t="e">
        <f t="shared" si="19"/>
        <v>#REF!</v>
      </c>
      <c r="F49" s="235" t="e">
        <f t="shared" si="19"/>
        <v>#REF!</v>
      </c>
      <c r="G49" s="235" t="e">
        <f t="shared" si="19"/>
        <v>#REF!</v>
      </c>
      <c r="H49" s="235" t="e">
        <f t="shared" si="19"/>
        <v>#REF!</v>
      </c>
      <c r="I49" s="235" t="e">
        <f t="shared" si="19"/>
        <v>#REF!</v>
      </c>
      <c r="J49" s="235" t="e">
        <f t="shared" si="19"/>
        <v>#REF!</v>
      </c>
      <c r="K49" s="278"/>
      <c r="L49" s="250"/>
      <c r="M49" s="250"/>
      <c r="N49" s="238"/>
      <c r="O49" s="238"/>
      <c r="P49" s="238"/>
      <c r="Q49" s="238"/>
    </row>
    <row r="50" spans="1:17" ht="14.4" hidden="1">
      <c r="A50" s="236"/>
      <c r="B50" s="236"/>
      <c r="C50" s="237"/>
      <c r="D50" s="237"/>
      <c r="E50" s="237"/>
      <c r="F50" s="237"/>
      <c r="G50" s="237"/>
      <c r="H50" s="237"/>
      <c r="I50" s="237"/>
      <c r="J50" s="237" t="e">
        <f>J49*2</f>
        <v>#REF!</v>
      </c>
      <c r="K50" s="237"/>
      <c r="L50" s="250"/>
      <c r="M50" s="250"/>
      <c r="N50" s="238"/>
      <c r="O50" s="238"/>
      <c r="P50" s="238"/>
      <c r="Q50" s="238"/>
    </row>
    <row r="51" spans="1:17" ht="25.2" hidden="1">
      <c r="A51" s="238"/>
      <c r="B51" s="238"/>
      <c r="C51" s="239" t="s">
        <v>454</v>
      </c>
      <c r="D51" s="240" t="s">
        <v>455</v>
      </c>
      <c r="E51" s="239" t="s">
        <v>59</v>
      </c>
      <c r="F51" s="239" t="s">
        <v>456</v>
      </c>
      <c r="G51" s="239" t="s">
        <v>457</v>
      </c>
      <c r="H51" s="241"/>
      <c r="I51" s="241"/>
      <c r="J51" s="241"/>
      <c r="K51" s="241"/>
      <c r="L51" s="250"/>
      <c r="M51" s="250"/>
      <c r="N51" s="238"/>
      <c r="O51" s="238"/>
      <c r="P51" s="238"/>
      <c r="Q51" s="238"/>
    </row>
    <row r="52" spans="1:17" ht="14.4" hidden="1">
      <c r="A52" s="238"/>
      <c r="B52" s="238"/>
      <c r="C52" s="420" t="s">
        <v>397</v>
      </c>
      <c r="D52" s="242">
        <v>32.5</v>
      </c>
      <c r="E52" s="243">
        <f>D49</f>
        <v>0</v>
      </c>
      <c r="F52" s="243">
        <v>345</v>
      </c>
      <c r="G52" s="244">
        <f>E52*F52</f>
        <v>0</v>
      </c>
      <c r="H52" s="241"/>
      <c r="I52" s="241"/>
      <c r="J52" s="241"/>
      <c r="K52" s="241"/>
      <c r="L52" s="250"/>
      <c r="M52" s="250"/>
      <c r="N52" s="238"/>
      <c r="O52" s="238"/>
      <c r="P52" s="238"/>
      <c r="Q52" s="238"/>
    </row>
    <row r="53" spans="1:17" ht="14.4" hidden="1">
      <c r="A53" s="238"/>
      <c r="B53" s="238"/>
      <c r="C53" s="420"/>
      <c r="D53" s="242">
        <v>42.5</v>
      </c>
      <c r="E53" s="245" t="e">
        <f>E49</f>
        <v>#REF!</v>
      </c>
      <c r="F53" s="245">
        <v>375</v>
      </c>
      <c r="G53" s="244" t="e">
        <f t="shared" ref="G53:G59" si="20">E53*F53</f>
        <v>#REF!</v>
      </c>
      <c r="H53" s="246"/>
      <c r="I53" s="246"/>
      <c r="J53" s="246"/>
      <c r="K53" s="246"/>
      <c r="L53" s="238"/>
      <c r="M53" s="238"/>
      <c r="N53" s="238"/>
      <c r="O53" s="238"/>
      <c r="P53" s="238"/>
      <c r="Q53" s="238"/>
    </row>
    <row r="54" spans="1:17" ht="14.4" hidden="1">
      <c r="A54" s="238"/>
      <c r="B54" s="238"/>
      <c r="C54" s="420"/>
      <c r="D54" s="242">
        <v>52.5</v>
      </c>
      <c r="E54" s="243" t="e">
        <f>F49</f>
        <v>#REF!</v>
      </c>
      <c r="F54" s="243">
        <v>415</v>
      </c>
      <c r="G54" s="244" t="e">
        <f t="shared" si="20"/>
        <v>#REF!</v>
      </c>
      <c r="H54" s="238"/>
      <c r="I54" s="238"/>
      <c r="J54" s="238"/>
      <c r="K54" s="238"/>
      <c r="L54" s="238"/>
      <c r="M54" s="238"/>
      <c r="N54" s="238"/>
      <c r="O54" s="238"/>
      <c r="P54" s="238"/>
      <c r="Q54" s="238"/>
    </row>
    <row r="55" spans="1:17" ht="14.4" hidden="1">
      <c r="A55" s="238"/>
      <c r="B55" s="238"/>
      <c r="C55" s="242" t="s">
        <v>398</v>
      </c>
      <c r="D55" s="242" t="s">
        <v>95</v>
      </c>
      <c r="E55" s="243" t="e">
        <f>G49-E56</f>
        <v>#REF!</v>
      </c>
      <c r="F55" s="243">
        <v>135</v>
      </c>
      <c r="G55" s="244" t="e">
        <f t="shared" si="20"/>
        <v>#REF!</v>
      </c>
      <c r="H55" s="238"/>
      <c r="I55" s="238"/>
      <c r="J55" s="238"/>
      <c r="K55" s="238"/>
      <c r="L55" s="238"/>
      <c r="M55" s="238"/>
      <c r="N55" s="238"/>
      <c r="O55" s="238"/>
      <c r="P55" s="238"/>
      <c r="Q55" s="238"/>
    </row>
    <row r="56" spans="1:17" ht="14.4" hidden="1">
      <c r="A56" s="238"/>
      <c r="B56" s="238"/>
      <c r="C56" s="242" t="s">
        <v>458</v>
      </c>
      <c r="D56" s="242" t="s">
        <v>95</v>
      </c>
      <c r="E56" s="243" t="e">
        <f>G35</f>
        <v>#REF!</v>
      </c>
      <c r="F56" s="243">
        <v>145</v>
      </c>
      <c r="G56" s="244" t="e">
        <f t="shared" si="20"/>
        <v>#REF!</v>
      </c>
      <c r="H56" s="238"/>
      <c r="I56" s="238"/>
      <c r="J56" s="238"/>
      <c r="K56" s="238"/>
      <c r="L56" s="238"/>
      <c r="M56" s="238"/>
      <c r="N56" s="238"/>
      <c r="O56" s="238"/>
      <c r="P56" s="238"/>
      <c r="Q56" s="238"/>
    </row>
    <row r="57" spans="1:17" ht="14.4" hidden="1">
      <c r="A57" s="238"/>
      <c r="B57" s="238"/>
      <c r="C57" s="242" t="s">
        <v>399</v>
      </c>
      <c r="D57" s="242" t="s">
        <v>95</v>
      </c>
      <c r="E57" s="243" t="e">
        <f>H49</f>
        <v>#REF!</v>
      </c>
      <c r="F57" s="243">
        <v>104</v>
      </c>
      <c r="G57" s="244" t="e">
        <f t="shared" si="20"/>
        <v>#REF!</v>
      </c>
      <c r="H57" s="238"/>
      <c r="I57" s="238"/>
      <c r="J57" s="238"/>
      <c r="K57" s="238"/>
      <c r="L57" s="238"/>
      <c r="M57" s="238"/>
      <c r="N57" s="238"/>
      <c r="O57" s="238"/>
      <c r="P57" s="238"/>
      <c r="Q57" s="238"/>
    </row>
    <row r="58" spans="1:17" ht="24" hidden="1">
      <c r="C58" s="247" t="s">
        <v>424</v>
      </c>
      <c r="D58" s="242" t="s">
        <v>418</v>
      </c>
      <c r="E58" s="243" t="e">
        <f>I49-I46</f>
        <v>#REF!</v>
      </c>
      <c r="F58" s="243">
        <v>3450</v>
      </c>
      <c r="G58" s="244" t="e">
        <f t="shared" si="20"/>
        <v>#REF!</v>
      </c>
    </row>
    <row r="59" spans="1:17" ht="24" hidden="1">
      <c r="C59" s="247" t="s">
        <v>429</v>
      </c>
      <c r="D59" s="242" t="s">
        <v>418</v>
      </c>
      <c r="E59" s="248" t="e">
        <f>I46</f>
        <v>#REF!</v>
      </c>
      <c r="F59" s="243">
        <v>1600</v>
      </c>
      <c r="G59" s="244" t="e">
        <f t="shared" si="20"/>
        <v>#REF!</v>
      </c>
    </row>
    <row r="60" spans="1:17" hidden="1">
      <c r="G60" s="249" t="e">
        <f>SUM(G52:G59)</f>
        <v>#REF!</v>
      </c>
    </row>
    <row r="61" spans="1:17" hidden="1"/>
    <row r="62" spans="1:17">
      <c r="C62" s="22"/>
      <c r="G62" s="249"/>
    </row>
    <row r="63" spans="1:17">
      <c r="G63" s="249"/>
    </row>
  </sheetData>
  <mergeCells count="36">
    <mergeCell ref="P14:P15"/>
    <mergeCell ref="Q14:Q15"/>
    <mergeCell ref="N14:O15"/>
    <mergeCell ref="C52:C54"/>
    <mergeCell ref="G3:G4"/>
    <mergeCell ref="G18:G19"/>
    <mergeCell ref="H3:H4"/>
    <mergeCell ref="H18:H19"/>
    <mergeCell ref="N19:O19"/>
    <mergeCell ref="N21:Q21"/>
    <mergeCell ref="C2:C4"/>
    <mergeCell ref="C18:C19"/>
    <mergeCell ref="I3:I4"/>
    <mergeCell ref="I18:I19"/>
    <mergeCell ref="J3:J4"/>
    <mergeCell ref="J18:J19"/>
    <mergeCell ref="A49:B49"/>
    <mergeCell ref="A2:A4"/>
    <mergeCell ref="A18:A19"/>
    <mergeCell ref="A20:A27"/>
    <mergeCell ref="A28:A38"/>
    <mergeCell ref="A39:A48"/>
    <mergeCell ref="B2:B4"/>
    <mergeCell ref="B18:B19"/>
    <mergeCell ref="N16:O16"/>
    <mergeCell ref="A17:J17"/>
    <mergeCell ref="N17:Q17"/>
    <mergeCell ref="D18:F18"/>
    <mergeCell ref="N18:O18"/>
    <mergeCell ref="A1:L1"/>
    <mergeCell ref="D2:K2"/>
    <mergeCell ref="D3:F3"/>
    <mergeCell ref="N4:Q4"/>
    <mergeCell ref="N13:O13"/>
    <mergeCell ref="K3:K4"/>
    <mergeCell ref="L2:L4"/>
  </mergeCells>
  <phoneticPr fontId="98" type="noConversion"/>
  <pageMargins left="0.69930555555555596" right="0.69930555555555596" top="0.75" bottom="0.75" header="0.3" footer="0.3"/>
  <ignoredErrors>
    <ignoredError sqref="D44:J44 D42:J42 D41:J41 D40:J40 D39:J39 C43:J43 F45 C45:D45 C38:J38" unlockedFormula="1"/>
  </ignoredError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00000"/>
  </sheetPr>
  <dimension ref="A1:N70"/>
  <sheetViews>
    <sheetView topLeftCell="A10" workbookViewId="0">
      <selection activeCell="E14" sqref="E14"/>
    </sheetView>
  </sheetViews>
  <sheetFormatPr defaultColWidth="9" defaultRowHeight="13.2"/>
  <cols>
    <col min="2" max="2" width="23.88671875" customWidth="1"/>
    <col min="4" max="4" width="13" customWidth="1"/>
    <col min="5" max="6" width="16" style="175" customWidth="1"/>
    <col min="8" max="8" width="24.6640625" style="175" customWidth="1"/>
    <col min="9" max="9" width="21.44140625" hidden="1" customWidth="1"/>
    <col min="10" max="10" width="7.6640625" hidden="1" customWidth="1"/>
    <col min="11" max="11" width="15.6640625" hidden="1" customWidth="1"/>
    <col min="12" max="12" width="13.88671875" hidden="1" customWidth="1"/>
    <col min="13" max="13" width="13.109375" customWidth="1"/>
  </cols>
  <sheetData>
    <row r="1" spans="1:7" ht="17.399999999999999">
      <c r="A1" s="424" t="s">
        <v>459</v>
      </c>
      <c r="B1" s="424"/>
      <c r="C1" s="424"/>
      <c r="D1" s="424"/>
      <c r="E1" s="424"/>
      <c r="F1" s="424"/>
      <c r="G1" s="424"/>
    </row>
    <row r="2" spans="1:7" ht="15.6">
      <c r="A2" s="176" t="s">
        <v>460</v>
      </c>
      <c r="B2" s="177"/>
      <c r="C2" s="177"/>
      <c r="D2" s="177"/>
      <c r="E2" s="178"/>
      <c r="F2" s="425" t="s">
        <v>461</v>
      </c>
      <c r="G2" s="425"/>
    </row>
    <row r="3" spans="1:7">
      <c r="A3" s="179" t="s">
        <v>56</v>
      </c>
      <c r="B3" s="179" t="s">
        <v>57</v>
      </c>
      <c r="C3" s="179" t="s">
        <v>58</v>
      </c>
      <c r="D3" s="179" t="s">
        <v>462</v>
      </c>
      <c r="E3" s="179" t="s">
        <v>463</v>
      </c>
      <c r="F3" s="179" t="s">
        <v>464</v>
      </c>
      <c r="G3" s="179" t="s">
        <v>12</v>
      </c>
    </row>
    <row r="4" spans="1:7">
      <c r="A4" s="426" t="s">
        <v>407</v>
      </c>
      <c r="B4" s="179" t="s">
        <v>465</v>
      </c>
      <c r="C4" s="179" t="s">
        <v>95</v>
      </c>
      <c r="D4" s="180">
        <f>E4/(1+F4)</f>
        <v>150.12</v>
      </c>
      <c r="E4" s="181">
        <v>154.62</v>
      </c>
      <c r="F4" s="182">
        <v>0.03</v>
      </c>
      <c r="G4" s="427" t="s">
        <v>466</v>
      </c>
    </row>
    <row r="5" spans="1:7">
      <c r="A5" s="426"/>
      <c r="B5" s="179" t="s">
        <v>467</v>
      </c>
      <c r="C5" s="179" t="s">
        <v>95</v>
      </c>
      <c r="D5" s="180">
        <f>E5/(1+F5)</f>
        <v>70.2</v>
      </c>
      <c r="E5" s="181">
        <v>72.31</v>
      </c>
      <c r="F5" s="182">
        <v>0.03</v>
      </c>
      <c r="G5" s="428"/>
    </row>
    <row r="6" spans="1:7">
      <c r="A6" s="426"/>
      <c r="B6" s="179" t="s">
        <v>399</v>
      </c>
      <c r="C6" s="179" t="s">
        <v>95</v>
      </c>
      <c r="D6" s="180">
        <f>E6/(1+F6)</f>
        <v>65.83</v>
      </c>
      <c r="E6" s="181">
        <v>67.81</v>
      </c>
      <c r="F6" s="182">
        <v>0.03</v>
      </c>
      <c r="G6" s="429"/>
    </row>
    <row r="7" spans="1:7">
      <c r="A7" s="426"/>
      <c r="B7" s="179" t="s">
        <v>468</v>
      </c>
      <c r="C7" s="179" t="s">
        <v>418</v>
      </c>
      <c r="D7" s="180">
        <f>E7/(1+F7)</f>
        <v>323.27999999999997</v>
      </c>
      <c r="E7" s="184">
        <f>E8-30</f>
        <v>375</v>
      </c>
      <c r="F7" s="182">
        <v>0.16</v>
      </c>
      <c r="G7" s="427"/>
    </row>
    <row r="8" spans="1:7">
      <c r="A8" s="426"/>
      <c r="B8" s="179" t="s">
        <v>469</v>
      </c>
      <c r="C8" s="179" t="s">
        <v>418</v>
      </c>
      <c r="D8" s="180">
        <f t="shared" ref="D8:D13" si="0">E8/(1+F8)</f>
        <v>349.14</v>
      </c>
      <c r="E8" s="180">
        <f>335+30+40</f>
        <v>405</v>
      </c>
      <c r="F8" s="182">
        <v>0.16</v>
      </c>
      <c r="G8" s="428"/>
    </row>
    <row r="9" spans="1:7">
      <c r="A9" s="426"/>
      <c r="B9" s="179" t="s">
        <v>470</v>
      </c>
      <c r="C9" s="179" t="s">
        <v>418</v>
      </c>
      <c r="D9" s="180">
        <f t="shared" si="0"/>
        <v>383.62</v>
      </c>
      <c r="E9" s="180">
        <f>E8+40</f>
        <v>445</v>
      </c>
      <c r="F9" s="182">
        <v>0.16</v>
      </c>
      <c r="G9" s="429"/>
    </row>
    <row r="10" spans="1:7">
      <c r="A10" s="426" t="s">
        <v>424</v>
      </c>
      <c r="B10" s="426"/>
      <c r="C10" s="179" t="s">
        <v>164</v>
      </c>
      <c r="D10" s="180">
        <f t="shared" si="0"/>
        <v>2.97</v>
      </c>
      <c r="E10" s="180">
        <v>3.45</v>
      </c>
      <c r="F10" s="182">
        <v>0.16</v>
      </c>
      <c r="G10" s="179"/>
    </row>
    <row r="11" spans="1:7">
      <c r="A11" s="426" t="s">
        <v>471</v>
      </c>
      <c r="B11" s="426"/>
      <c r="C11" s="179" t="s">
        <v>164</v>
      </c>
      <c r="D11" s="180">
        <f t="shared" si="0"/>
        <v>1.38</v>
      </c>
      <c r="E11" s="180">
        <v>1.6</v>
      </c>
      <c r="F11" s="182">
        <v>0.16</v>
      </c>
      <c r="G11" s="179"/>
    </row>
    <row r="12" spans="1:7">
      <c r="A12" s="426" t="s">
        <v>401</v>
      </c>
      <c r="B12" s="426"/>
      <c r="C12" s="179" t="s">
        <v>418</v>
      </c>
      <c r="D12" s="180"/>
      <c r="E12" s="180">
        <v>2</v>
      </c>
      <c r="F12" s="180"/>
      <c r="G12" s="179"/>
    </row>
    <row r="13" spans="1:7">
      <c r="A13" s="426" t="s">
        <v>472</v>
      </c>
      <c r="B13" s="426"/>
      <c r="C13" s="179" t="s">
        <v>164</v>
      </c>
      <c r="D13" s="180">
        <f t="shared" si="0"/>
        <v>3.99</v>
      </c>
      <c r="E13" s="181">
        <v>4.63</v>
      </c>
      <c r="F13" s="182">
        <v>0.16</v>
      </c>
      <c r="G13" s="185"/>
    </row>
    <row r="14" spans="1:7">
      <c r="A14" s="426" t="s">
        <v>473</v>
      </c>
      <c r="B14" s="426"/>
      <c r="C14" s="179" t="s">
        <v>164</v>
      </c>
      <c r="D14" s="180">
        <f t="shared" ref="D14:D37" si="1">E14/(1+F14)</f>
        <v>3.85</v>
      </c>
      <c r="E14" s="181">
        <v>4.47</v>
      </c>
      <c r="F14" s="182">
        <v>0.16</v>
      </c>
      <c r="G14" s="185"/>
    </row>
    <row r="15" spans="1:7">
      <c r="A15" s="426" t="s">
        <v>223</v>
      </c>
      <c r="B15" s="426"/>
      <c r="C15" s="179" t="s">
        <v>164</v>
      </c>
      <c r="D15" s="180">
        <f t="shared" si="1"/>
        <v>4.3</v>
      </c>
      <c r="E15" s="180">
        <v>4.99</v>
      </c>
      <c r="F15" s="182">
        <v>0.16</v>
      </c>
      <c r="G15" s="183"/>
    </row>
    <row r="16" spans="1:7">
      <c r="A16" s="426" t="s">
        <v>474</v>
      </c>
      <c r="B16" s="426"/>
      <c r="C16" s="179" t="s">
        <v>164</v>
      </c>
      <c r="D16" s="180">
        <f t="shared" si="1"/>
        <v>4.13</v>
      </c>
      <c r="E16" s="180">
        <v>4.79</v>
      </c>
      <c r="F16" s="182">
        <v>0.16</v>
      </c>
      <c r="G16" s="183"/>
    </row>
    <row r="17" spans="1:7">
      <c r="A17" s="426" t="s">
        <v>475</v>
      </c>
      <c r="B17" s="426"/>
      <c r="C17" s="179" t="s">
        <v>164</v>
      </c>
      <c r="D17" s="180">
        <f t="shared" si="1"/>
        <v>4.16</v>
      </c>
      <c r="E17" s="180">
        <v>4.83</v>
      </c>
      <c r="F17" s="182">
        <v>0.16</v>
      </c>
      <c r="G17" s="183"/>
    </row>
    <row r="18" spans="1:7">
      <c r="A18" s="426" t="s">
        <v>476</v>
      </c>
      <c r="B18" s="426"/>
      <c r="C18" s="179" t="s">
        <v>164</v>
      </c>
      <c r="D18" s="180">
        <f t="shared" si="1"/>
        <v>4.24</v>
      </c>
      <c r="E18" s="180">
        <v>4.92</v>
      </c>
      <c r="F18" s="182">
        <v>0.16</v>
      </c>
      <c r="G18" s="183"/>
    </row>
    <row r="19" spans="1:7">
      <c r="A19" s="426" t="s">
        <v>477</v>
      </c>
      <c r="B19" s="426"/>
      <c r="C19" s="179" t="s">
        <v>164</v>
      </c>
      <c r="D19" s="180">
        <f t="shared" si="1"/>
        <v>4.21</v>
      </c>
      <c r="E19" s="180">
        <v>4.88</v>
      </c>
      <c r="F19" s="182">
        <v>0.16</v>
      </c>
      <c r="G19" s="179"/>
    </row>
    <row r="20" spans="1:7">
      <c r="A20" s="426" t="s">
        <v>478</v>
      </c>
      <c r="B20" s="426"/>
      <c r="C20" s="179" t="s">
        <v>164</v>
      </c>
      <c r="D20" s="180">
        <f t="shared" si="1"/>
        <v>5.21</v>
      </c>
      <c r="E20" s="180">
        <v>6.04</v>
      </c>
      <c r="F20" s="182">
        <v>0.16</v>
      </c>
      <c r="G20" s="179"/>
    </row>
    <row r="21" spans="1:7">
      <c r="A21" s="426" t="s">
        <v>477</v>
      </c>
      <c r="B21" s="426"/>
      <c r="C21" s="179" t="s">
        <v>164</v>
      </c>
      <c r="D21" s="180">
        <f t="shared" si="1"/>
        <v>4.21</v>
      </c>
      <c r="E21" s="180">
        <v>4.88</v>
      </c>
      <c r="F21" s="182">
        <v>0.16</v>
      </c>
      <c r="G21" s="179"/>
    </row>
    <row r="22" spans="1:7">
      <c r="A22" s="430" t="s">
        <v>479</v>
      </c>
      <c r="B22" s="186" t="s">
        <v>480</v>
      </c>
      <c r="C22" s="179" t="s">
        <v>164</v>
      </c>
      <c r="D22" s="180">
        <f t="shared" si="1"/>
        <v>2.37</v>
      </c>
      <c r="E22" s="187">
        <v>2.75</v>
      </c>
      <c r="F22" s="182">
        <v>0.16</v>
      </c>
      <c r="G22" s="188"/>
    </row>
    <row r="23" spans="1:7">
      <c r="A23" s="431"/>
      <c r="B23" s="186" t="s">
        <v>481</v>
      </c>
      <c r="C23" s="179" t="s">
        <v>164</v>
      </c>
      <c r="D23" s="180">
        <f t="shared" si="1"/>
        <v>2</v>
      </c>
      <c r="E23" s="187">
        <v>2.3199999999999998</v>
      </c>
      <c r="F23" s="182">
        <v>0.16</v>
      </c>
      <c r="G23" s="188"/>
    </row>
    <row r="24" spans="1:7">
      <c r="A24" s="426" t="s">
        <v>307</v>
      </c>
      <c r="B24" s="426"/>
      <c r="C24" s="179" t="s">
        <v>482</v>
      </c>
      <c r="D24" s="180">
        <f t="shared" si="1"/>
        <v>4.4800000000000004</v>
      </c>
      <c r="E24" s="180">
        <v>5.2</v>
      </c>
      <c r="F24" s="182">
        <v>0.16</v>
      </c>
      <c r="G24" s="185"/>
    </row>
    <row r="25" spans="1:7">
      <c r="A25" s="426" t="s">
        <v>483</v>
      </c>
      <c r="B25" s="426"/>
      <c r="C25" s="179" t="s">
        <v>482</v>
      </c>
      <c r="D25" s="180">
        <f t="shared" si="1"/>
        <v>18.97</v>
      </c>
      <c r="E25" s="183">
        <v>22</v>
      </c>
      <c r="F25" s="182">
        <v>0.16</v>
      </c>
      <c r="G25" s="179"/>
    </row>
    <row r="26" spans="1:7">
      <c r="A26" s="426" t="s">
        <v>484</v>
      </c>
      <c r="B26" s="426"/>
      <c r="C26" s="179" t="s">
        <v>351</v>
      </c>
      <c r="D26" s="180">
        <f t="shared" si="1"/>
        <v>2.59</v>
      </c>
      <c r="E26" s="179">
        <v>3</v>
      </c>
      <c r="F26" s="182">
        <v>0.16</v>
      </c>
      <c r="G26" s="183"/>
    </row>
    <row r="27" spans="1:7">
      <c r="A27" s="426" t="s">
        <v>485</v>
      </c>
      <c r="B27" s="426"/>
      <c r="C27" s="179" t="s">
        <v>164</v>
      </c>
      <c r="D27" s="180">
        <f t="shared" si="1"/>
        <v>4.96</v>
      </c>
      <c r="E27" s="179">
        <v>5.75</v>
      </c>
      <c r="F27" s="182">
        <v>0.16</v>
      </c>
      <c r="G27" s="183"/>
    </row>
    <row r="28" spans="1:7">
      <c r="A28" s="426" t="s">
        <v>486</v>
      </c>
      <c r="B28" s="426"/>
      <c r="C28" s="179" t="s">
        <v>418</v>
      </c>
      <c r="D28" s="180">
        <f t="shared" si="1"/>
        <v>1293.0999999999999</v>
      </c>
      <c r="E28" s="179">
        <v>1500</v>
      </c>
      <c r="F28" s="182">
        <v>0.16</v>
      </c>
      <c r="G28" s="183"/>
    </row>
    <row r="29" spans="1:7">
      <c r="A29" s="426" t="s">
        <v>487</v>
      </c>
      <c r="B29" s="426"/>
      <c r="C29" s="179" t="s">
        <v>164</v>
      </c>
      <c r="D29" s="180">
        <f t="shared" si="1"/>
        <v>4.87</v>
      </c>
      <c r="E29" s="179">
        <v>5.65</v>
      </c>
      <c r="F29" s="182">
        <v>0.16</v>
      </c>
      <c r="G29" s="183"/>
    </row>
    <row r="30" spans="1:7">
      <c r="A30" s="426" t="s">
        <v>399</v>
      </c>
      <c r="B30" s="426"/>
      <c r="C30" s="179" t="s">
        <v>95</v>
      </c>
      <c r="D30" s="180">
        <f t="shared" si="1"/>
        <v>53.45</v>
      </c>
      <c r="E30" s="183">
        <v>62</v>
      </c>
      <c r="F30" s="182">
        <v>0.16</v>
      </c>
      <c r="G30" s="183"/>
    </row>
    <row r="31" spans="1:7">
      <c r="A31" s="426" t="s">
        <v>488</v>
      </c>
      <c r="B31" s="426"/>
      <c r="C31" s="179" t="s">
        <v>140</v>
      </c>
      <c r="D31" s="180">
        <f t="shared" si="1"/>
        <v>10.34</v>
      </c>
      <c r="E31" s="179">
        <v>12</v>
      </c>
      <c r="F31" s="182">
        <v>0.16</v>
      </c>
      <c r="G31" s="183"/>
    </row>
    <row r="32" spans="1:7">
      <c r="A32" s="426" t="s">
        <v>489</v>
      </c>
      <c r="B32" s="426"/>
      <c r="C32" s="179" t="s">
        <v>140</v>
      </c>
      <c r="D32" s="180">
        <f t="shared" si="1"/>
        <v>8.6199999999999992</v>
      </c>
      <c r="E32" s="179">
        <v>10</v>
      </c>
      <c r="F32" s="182">
        <v>0.16</v>
      </c>
      <c r="G32" s="183"/>
    </row>
    <row r="33" spans="1:8">
      <c r="A33" s="426" t="s">
        <v>319</v>
      </c>
      <c r="B33" s="426"/>
      <c r="C33" s="179" t="s">
        <v>140</v>
      </c>
      <c r="D33" s="180">
        <f t="shared" si="1"/>
        <v>58.62</v>
      </c>
      <c r="E33" s="179">
        <v>68</v>
      </c>
      <c r="F33" s="182">
        <v>0.16</v>
      </c>
      <c r="G33" s="183"/>
    </row>
    <row r="34" spans="1:8">
      <c r="A34" s="426" t="s">
        <v>490</v>
      </c>
      <c r="B34" s="426"/>
      <c r="C34" s="179" t="s">
        <v>140</v>
      </c>
      <c r="D34" s="180">
        <f t="shared" si="1"/>
        <v>19.399999999999999</v>
      </c>
      <c r="E34" s="179">
        <v>22.5</v>
      </c>
      <c r="F34" s="182">
        <v>0.16</v>
      </c>
      <c r="G34" s="183"/>
    </row>
    <row r="35" spans="1:8">
      <c r="A35" s="426" t="s">
        <v>491</v>
      </c>
      <c r="B35" s="426"/>
      <c r="C35" s="179" t="s">
        <v>140</v>
      </c>
      <c r="D35" s="180">
        <f t="shared" si="1"/>
        <v>12.5</v>
      </c>
      <c r="E35" s="183">
        <v>14.5</v>
      </c>
      <c r="F35" s="182">
        <v>0.16</v>
      </c>
      <c r="G35" s="183"/>
    </row>
    <row r="36" spans="1:8">
      <c r="A36" s="432" t="s">
        <v>492</v>
      </c>
      <c r="B36" s="433"/>
      <c r="C36" s="179" t="s">
        <v>164</v>
      </c>
      <c r="D36" s="180">
        <f t="shared" si="1"/>
        <v>4.13</v>
      </c>
      <c r="E36" s="183">
        <v>4.79</v>
      </c>
      <c r="F36" s="182">
        <v>0.16</v>
      </c>
      <c r="G36" s="183"/>
    </row>
    <row r="37" spans="1:8">
      <c r="A37" s="426" t="s">
        <v>493</v>
      </c>
      <c r="B37" s="426"/>
      <c r="C37" s="179" t="s">
        <v>164</v>
      </c>
      <c r="D37" s="180">
        <f t="shared" si="1"/>
        <v>4.3099999999999996</v>
      </c>
      <c r="E37" s="180">
        <v>5</v>
      </c>
      <c r="F37" s="182">
        <v>0.16</v>
      </c>
      <c r="G37" s="179"/>
    </row>
    <row r="38" spans="1:8">
      <c r="A38" s="426" t="s">
        <v>494</v>
      </c>
      <c r="B38" s="426"/>
      <c r="C38" s="179" t="s">
        <v>95</v>
      </c>
      <c r="D38" s="180"/>
      <c r="E38" s="180">
        <f>配合比!L6</f>
        <v>252.83</v>
      </c>
      <c r="F38" s="180"/>
      <c r="G38" s="426" t="s">
        <v>495</v>
      </c>
      <c r="H38" s="189"/>
    </row>
    <row r="39" spans="1:8">
      <c r="A39" s="426" t="s">
        <v>496</v>
      </c>
      <c r="B39" s="426"/>
      <c r="C39" s="179" t="s">
        <v>95</v>
      </c>
      <c r="D39" s="180"/>
      <c r="E39" s="180">
        <f>配合比!L7</f>
        <v>277.64</v>
      </c>
      <c r="F39" s="180"/>
      <c r="G39" s="426"/>
      <c r="H39" s="189"/>
    </row>
    <row r="40" spans="1:8">
      <c r="A40" s="426" t="s">
        <v>497</v>
      </c>
      <c r="B40" s="426"/>
      <c r="C40" s="179" t="s">
        <v>95</v>
      </c>
      <c r="D40" s="180"/>
      <c r="E40" s="180">
        <f>配合比!L8</f>
        <v>290.29000000000002</v>
      </c>
      <c r="F40" s="180"/>
      <c r="G40" s="426"/>
      <c r="H40" s="189"/>
    </row>
    <row r="41" spans="1:8">
      <c r="A41" s="426" t="s">
        <v>303</v>
      </c>
      <c r="B41" s="426"/>
      <c r="C41" s="179" t="s">
        <v>95</v>
      </c>
      <c r="D41" s="180"/>
      <c r="E41" s="180">
        <f>配合比!L9</f>
        <v>299.64999999999998</v>
      </c>
      <c r="F41" s="180"/>
      <c r="G41" s="426"/>
      <c r="H41" s="189"/>
    </row>
    <row r="42" spans="1:8">
      <c r="A42" s="426" t="s">
        <v>498</v>
      </c>
      <c r="B42" s="426"/>
      <c r="C42" s="179" t="s">
        <v>95</v>
      </c>
      <c r="D42" s="180"/>
      <c r="E42" s="180">
        <f>配合比!L10</f>
        <v>298.31</v>
      </c>
      <c r="F42" s="180"/>
      <c r="G42" s="426"/>
      <c r="H42" s="189"/>
    </row>
    <row r="43" spans="1:8">
      <c r="A43" s="426" t="s">
        <v>499</v>
      </c>
      <c r="B43" s="426"/>
      <c r="C43" s="179" t="s">
        <v>95</v>
      </c>
      <c r="D43" s="180"/>
      <c r="E43" s="180">
        <f>配合比!L11</f>
        <v>315.41000000000003</v>
      </c>
      <c r="F43" s="180"/>
      <c r="G43" s="426"/>
      <c r="H43" s="189"/>
    </row>
    <row r="44" spans="1:8">
      <c r="A44" s="426" t="s">
        <v>500</v>
      </c>
      <c r="B44" s="426"/>
      <c r="C44" s="179" t="s">
        <v>95</v>
      </c>
      <c r="D44" s="180"/>
      <c r="E44" s="180">
        <f>配合比!L12</f>
        <v>329.95</v>
      </c>
      <c r="F44" s="180"/>
      <c r="G44" s="426"/>
      <c r="H44" s="189"/>
    </row>
    <row r="45" spans="1:8">
      <c r="A45" s="426" t="s">
        <v>501</v>
      </c>
      <c r="B45" s="426"/>
      <c r="C45" s="179" t="s">
        <v>95</v>
      </c>
      <c r="D45" s="180"/>
      <c r="E45" s="180">
        <f>配合比!L13</f>
        <v>400.35</v>
      </c>
      <c r="F45" s="180"/>
      <c r="G45" s="426"/>
      <c r="H45" s="189"/>
    </row>
    <row r="46" spans="1:8">
      <c r="A46" s="426" t="s">
        <v>502</v>
      </c>
      <c r="B46" s="426"/>
      <c r="C46" s="179" t="s">
        <v>95</v>
      </c>
      <c r="D46" s="180"/>
      <c r="E46" s="180">
        <f>配合比!L14</f>
        <v>318.08999999999997</v>
      </c>
      <c r="F46" s="180"/>
      <c r="G46" s="426"/>
      <c r="H46" s="189"/>
    </row>
    <row r="47" spans="1:8">
      <c r="A47" s="426" t="s">
        <v>503</v>
      </c>
      <c r="B47" s="426"/>
      <c r="C47" s="179" t="s">
        <v>95</v>
      </c>
      <c r="D47" s="180"/>
      <c r="E47" s="180">
        <f>配合比!L15</f>
        <v>365.02</v>
      </c>
      <c r="F47" s="180"/>
      <c r="G47" s="426"/>
      <c r="H47" s="189"/>
    </row>
    <row r="48" spans="1:8">
      <c r="A48" s="426" t="s">
        <v>504</v>
      </c>
      <c r="B48" s="426"/>
      <c r="C48" s="179" t="s">
        <v>164</v>
      </c>
      <c r="D48" s="180">
        <f>E48/(1+F48)</f>
        <v>5.52</v>
      </c>
      <c r="E48" s="180">
        <v>6.4</v>
      </c>
      <c r="F48" s="182">
        <v>0.16</v>
      </c>
      <c r="G48" s="179"/>
    </row>
    <row r="49" spans="1:14">
      <c r="A49" s="434" t="s">
        <v>505</v>
      </c>
      <c r="B49" s="191" t="s">
        <v>506</v>
      </c>
      <c r="C49" s="179" t="s">
        <v>507</v>
      </c>
      <c r="D49" s="180">
        <f>E49/(1+F49)</f>
        <v>40.28</v>
      </c>
      <c r="E49" s="184">
        <v>46.73</v>
      </c>
      <c r="F49" s="182">
        <v>0.16</v>
      </c>
      <c r="G49" s="179"/>
      <c r="I49" s="196" t="s">
        <v>508</v>
      </c>
      <c r="J49" s="197" t="s">
        <v>509</v>
      </c>
      <c r="K49" s="197" t="s">
        <v>510</v>
      </c>
      <c r="L49" s="197" t="s">
        <v>511</v>
      </c>
      <c r="M49" s="198" t="s">
        <v>512</v>
      </c>
      <c r="N49" s="199"/>
    </row>
    <row r="50" spans="1:14">
      <c r="A50" s="434"/>
      <c r="B50" s="191" t="s">
        <v>513</v>
      </c>
      <c r="C50" s="179" t="s">
        <v>507</v>
      </c>
      <c r="D50" s="180">
        <f>E50/(1+F50)</f>
        <v>40.26</v>
      </c>
      <c r="E50" s="184">
        <v>46.7</v>
      </c>
      <c r="F50" s="182">
        <v>0.16</v>
      </c>
      <c r="G50" s="179"/>
      <c r="I50" s="200" t="s">
        <v>506</v>
      </c>
      <c r="J50" s="201">
        <f>3.14*1.5^2*0.63</f>
        <v>4.45</v>
      </c>
      <c r="K50" s="201">
        <f t="shared" ref="K50:K55" si="2">L50/J50</f>
        <v>46.74</v>
      </c>
      <c r="L50" s="202">
        <v>208</v>
      </c>
      <c r="M50" s="203">
        <v>187</v>
      </c>
      <c r="N50" s="199">
        <f>M50/J50</f>
        <v>42.022471910112401</v>
      </c>
    </row>
    <row r="51" spans="1:14" ht="19.5" customHeight="1">
      <c r="A51" s="434"/>
      <c r="B51" s="12" t="s">
        <v>514</v>
      </c>
      <c r="C51" s="192" t="s">
        <v>507</v>
      </c>
      <c r="D51" s="180">
        <f t="shared" ref="D51:D56" si="3">E51/(1+F51)</f>
        <v>40.26</v>
      </c>
      <c r="E51" s="184">
        <v>46.7</v>
      </c>
      <c r="F51" s="182">
        <v>0.16</v>
      </c>
      <c r="G51" s="179"/>
      <c r="I51" s="200" t="s">
        <v>513</v>
      </c>
      <c r="J51" s="201">
        <f>3.14*2.25^2*0.99</f>
        <v>15.74</v>
      </c>
      <c r="K51" s="201">
        <f t="shared" si="2"/>
        <v>46.7</v>
      </c>
      <c r="L51" s="201">
        <v>735</v>
      </c>
      <c r="M51" s="203">
        <v>661</v>
      </c>
      <c r="N51" s="199">
        <f t="shared" ref="N51:N55" si="4">M51/J51</f>
        <v>41.994917407877999</v>
      </c>
    </row>
    <row r="52" spans="1:14" ht="19.5" customHeight="1">
      <c r="A52" s="434"/>
      <c r="B52" s="191" t="s">
        <v>515</v>
      </c>
      <c r="C52" s="179" t="s">
        <v>507</v>
      </c>
      <c r="D52" s="180">
        <f t="shared" si="3"/>
        <v>138.85</v>
      </c>
      <c r="E52" s="184">
        <v>161.07</v>
      </c>
      <c r="F52" s="182">
        <v>0.16</v>
      </c>
      <c r="G52" s="179"/>
      <c r="I52" s="204" t="s">
        <v>514</v>
      </c>
      <c r="J52" s="201">
        <f>3.14*2.5^2*1.1</f>
        <v>21.59</v>
      </c>
      <c r="K52" s="201">
        <f t="shared" si="2"/>
        <v>46.7</v>
      </c>
      <c r="L52" s="201">
        <f>L51/J51*J52</f>
        <v>1008.17</v>
      </c>
      <c r="M52" s="203">
        <v>906</v>
      </c>
      <c r="N52" s="199">
        <f t="shared" si="4"/>
        <v>41.963872163038403</v>
      </c>
    </row>
    <row r="53" spans="1:14" ht="19.5" customHeight="1">
      <c r="A53" s="434"/>
      <c r="B53" s="191" t="s">
        <v>516</v>
      </c>
      <c r="C53" s="179" t="s">
        <v>507</v>
      </c>
      <c r="D53" s="180">
        <f t="shared" si="3"/>
        <v>138.85</v>
      </c>
      <c r="E53" s="184">
        <v>161.07</v>
      </c>
      <c r="F53" s="182">
        <v>0.16</v>
      </c>
      <c r="G53" s="179"/>
      <c r="I53" s="13" t="s">
        <v>517</v>
      </c>
      <c r="J53" s="201">
        <f>3.14*1.375^2*0.65</f>
        <v>3.86</v>
      </c>
      <c r="K53" s="201">
        <f t="shared" si="2"/>
        <v>161.08000000000001</v>
      </c>
      <c r="L53" s="201">
        <f>L54/J54*J53</f>
        <v>621.78</v>
      </c>
      <c r="M53" s="203">
        <v>246</v>
      </c>
      <c r="N53" s="199">
        <f t="shared" si="4"/>
        <v>63.730569948186499</v>
      </c>
    </row>
    <row r="54" spans="1:14" ht="19.5" customHeight="1">
      <c r="A54" s="434"/>
      <c r="B54" s="191" t="s">
        <v>518</v>
      </c>
      <c r="C54" s="179" t="s">
        <v>507</v>
      </c>
      <c r="D54" s="180">
        <f t="shared" si="3"/>
        <v>138.85</v>
      </c>
      <c r="E54" s="184">
        <v>161.07</v>
      </c>
      <c r="F54" s="182">
        <v>0.16</v>
      </c>
      <c r="G54" s="179"/>
      <c r="I54" s="13" t="s">
        <v>519</v>
      </c>
      <c r="J54" s="201">
        <f>3.14*2.25^2*0.86</f>
        <v>13.67</v>
      </c>
      <c r="K54" s="201">
        <f t="shared" si="2"/>
        <v>161.08000000000001</v>
      </c>
      <c r="L54" s="202">
        <v>2202</v>
      </c>
      <c r="M54" s="203">
        <v>800</v>
      </c>
      <c r="N54" s="199">
        <f t="shared" si="4"/>
        <v>58.5223116313094</v>
      </c>
    </row>
    <row r="55" spans="1:14" ht="21.75" customHeight="1">
      <c r="A55" s="435" t="s">
        <v>520</v>
      </c>
      <c r="B55" s="191" t="s">
        <v>521</v>
      </c>
      <c r="C55" s="179" t="s">
        <v>140</v>
      </c>
      <c r="D55" s="180">
        <f t="shared" si="3"/>
        <v>1258.6199999999999</v>
      </c>
      <c r="E55" s="184">
        <v>1460</v>
      </c>
      <c r="F55" s="182">
        <v>0.16</v>
      </c>
      <c r="G55" s="179"/>
      <c r="I55" s="13" t="s">
        <v>522</v>
      </c>
      <c r="J55" s="201">
        <f>3.14*2.5^2*0.92</f>
        <v>18.059999999999999</v>
      </c>
      <c r="K55" s="201">
        <f t="shared" si="2"/>
        <v>161.08000000000001</v>
      </c>
      <c r="L55" s="201">
        <f>L54/J54*J55</f>
        <v>2909.15</v>
      </c>
      <c r="M55" s="203">
        <v>1046</v>
      </c>
      <c r="N55" s="199">
        <f t="shared" si="4"/>
        <v>57.918050941306802</v>
      </c>
    </row>
    <row r="56" spans="1:14" ht="21.75" customHeight="1">
      <c r="A56" s="436"/>
      <c r="B56" s="191" t="s">
        <v>523</v>
      </c>
      <c r="C56" s="179" t="s">
        <v>140</v>
      </c>
      <c r="D56" s="180">
        <f t="shared" si="3"/>
        <v>1965.52</v>
      </c>
      <c r="E56" s="180">
        <v>2280</v>
      </c>
      <c r="F56" s="182">
        <v>0.16</v>
      </c>
      <c r="G56" s="179"/>
      <c r="I56" s="205"/>
      <c r="J56" s="206"/>
      <c r="K56" s="206"/>
      <c r="L56" s="206"/>
    </row>
    <row r="57" spans="1:14" ht="24">
      <c r="A57" s="434" t="s">
        <v>524</v>
      </c>
      <c r="B57" s="191" t="s">
        <v>525</v>
      </c>
      <c r="C57" s="179" t="s">
        <v>526</v>
      </c>
      <c r="D57" s="180">
        <f t="shared" ref="D57:D70" si="5">E57/(1+F57)</f>
        <v>6.21</v>
      </c>
      <c r="E57" s="180">
        <v>7.2</v>
      </c>
      <c r="F57" s="182">
        <v>0.16</v>
      </c>
      <c r="G57" s="179"/>
    </row>
    <row r="58" spans="1:14" ht="24">
      <c r="A58" s="434"/>
      <c r="B58" s="191" t="s">
        <v>527</v>
      </c>
      <c r="C58" s="179" t="s">
        <v>526</v>
      </c>
      <c r="D58" s="180">
        <f t="shared" si="5"/>
        <v>6.72</v>
      </c>
      <c r="E58" s="180">
        <v>7.8</v>
      </c>
      <c r="F58" s="182">
        <v>0.16</v>
      </c>
      <c r="G58" s="179"/>
    </row>
    <row r="59" spans="1:14" ht="24">
      <c r="A59" s="434"/>
      <c r="B59" s="191" t="s">
        <v>528</v>
      </c>
      <c r="C59" s="179" t="s">
        <v>526</v>
      </c>
      <c r="D59" s="180">
        <f t="shared" si="5"/>
        <v>5.86</v>
      </c>
      <c r="E59" s="180">
        <v>6.8</v>
      </c>
      <c r="F59" s="182">
        <v>0.16</v>
      </c>
      <c r="G59" s="185"/>
    </row>
    <row r="60" spans="1:14" ht="24">
      <c r="A60" s="434"/>
      <c r="B60" s="191" t="s">
        <v>529</v>
      </c>
      <c r="C60" s="179" t="s">
        <v>526</v>
      </c>
      <c r="D60" s="180">
        <f t="shared" si="5"/>
        <v>3.88</v>
      </c>
      <c r="E60" s="180">
        <v>4.5</v>
      </c>
      <c r="F60" s="182">
        <v>0.16</v>
      </c>
      <c r="G60" s="185"/>
    </row>
    <row r="61" spans="1:14" ht="24">
      <c r="A61" s="434"/>
      <c r="B61" s="191" t="s">
        <v>530</v>
      </c>
      <c r="C61" s="179" t="s">
        <v>526</v>
      </c>
      <c r="D61" s="180">
        <f t="shared" si="5"/>
        <v>6.21</v>
      </c>
      <c r="E61" s="180">
        <v>7.2</v>
      </c>
      <c r="F61" s="182">
        <v>0.16</v>
      </c>
      <c r="G61" s="185"/>
    </row>
    <row r="62" spans="1:14">
      <c r="A62" s="434" t="s">
        <v>531</v>
      </c>
      <c r="B62" s="193" t="s">
        <v>532</v>
      </c>
      <c r="C62" s="190" t="s">
        <v>351</v>
      </c>
      <c r="D62" s="180">
        <f t="shared" si="5"/>
        <v>136.21</v>
      </c>
      <c r="E62" s="194">
        <v>158</v>
      </c>
      <c r="F62" s="182">
        <v>0.16</v>
      </c>
      <c r="G62" s="193"/>
    </row>
    <row r="63" spans="1:14">
      <c r="A63" s="434"/>
      <c r="B63" s="193" t="s">
        <v>533</v>
      </c>
      <c r="C63" s="190" t="s">
        <v>351</v>
      </c>
      <c r="D63" s="180">
        <f t="shared" si="5"/>
        <v>113.79</v>
      </c>
      <c r="E63" s="194">
        <v>132</v>
      </c>
      <c r="F63" s="182">
        <v>0.16</v>
      </c>
      <c r="G63" s="193"/>
    </row>
    <row r="64" spans="1:14">
      <c r="A64" s="434"/>
      <c r="B64" s="193" t="s">
        <v>534</v>
      </c>
      <c r="C64" s="190" t="s">
        <v>351</v>
      </c>
      <c r="D64" s="180">
        <f t="shared" si="5"/>
        <v>103.45</v>
      </c>
      <c r="E64" s="195">
        <v>120</v>
      </c>
      <c r="F64" s="182">
        <v>0.16</v>
      </c>
      <c r="G64" s="193"/>
    </row>
    <row r="65" spans="1:7">
      <c r="A65" s="434"/>
      <c r="B65" s="193" t="s">
        <v>535</v>
      </c>
      <c r="C65" s="190" t="s">
        <v>351</v>
      </c>
      <c r="D65" s="180">
        <f t="shared" si="5"/>
        <v>81.47</v>
      </c>
      <c r="E65" s="195">
        <v>94.51</v>
      </c>
      <c r="F65" s="182">
        <v>0.16</v>
      </c>
      <c r="G65" s="193"/>
    </row>
    <row r="66" spans="1:7">
      <c r="A66" s="434"/>
      <c r="B66" s="193" t="s">
        <v>536</v>
      </c>
      <c r="C66" s="190" t="s">
        <v>351</v>
      </c>
      <c r="D66" s="180">
        <f t="shared" si="5"/>
        <v>72.41</v>
      </c>
      <c r="E66" s="195">
        <v>84</v>
      </c>
      <c r="F66" s="182">
        <v>0.16</v>
      </c>
      <c r="G66" s="193"/>
    </row>
    <row r="67" spans="1:7">
      <c r="A67" s="434"/>
      <c r="B67" s="193" t="s">
        <v>537</v>
      </c>
      <c r="C67" s="190" t="s">
        <v>351</v>
      </c>
      <c r="D67" s="180">
        <f t="shared" si="5"/>
        <v>65.52</v>
      </c>
      <c r="E67" s="195">
        <v>76</v>
      </c>
      <c r="F67" s="182">
        <v>0.16</v>
      </c>
      <c r="G67" s="193"/>
    </row>
    <row r="68" spans="1:7">
      <c r="A68" s="434"/>
      <c r="B68" s="193" t="s">
        <v>538</v>
      </c>
      <c r="C68" s="190" t="s">
        <v>351</v>
      </c>
      <c r="D68" s="180">
        <f t="shared" si="5"/>
        <v>51.72</v>
      </c>
      <c r="E68" s="195">
        <v>60</v>
      </c>
      <c r="F68" s="182">
        <v>0.16</v>
      </c>
      <c r="G68" s="193"/>
    </row>
    <row r="69" spans="1:7">
      <c r="A69" s="434"/>
      <c r="B69" s="193" t="s">
        <v>539</v>
      </c>
      <c r="C69" s="190" t="s">
        <v>351</v>
      </c>
      <c r="D69" s="180">
        <f t="shared" si="5"/>
        <v>44.83</v>
      </c>
      <c r="E69" s="195">
        <v>52</v>
      </c>
      <c r="F69" s="182">
        <v>0.16</v>
      </c>
      <c r="G69" s="193"/>
    </row>
    <row r="70" spans="1:7">
      <c r="A70" s="434" t="s">
        <v>540</v>
      </c>
      <c r="B70" s="434"/>
      <c r="C70" s="190" t="s">
        <v>351</v>
      </c>
      <c r="D70" s="180">
        <f t="shared" si="5"/>
        <v>64.66</v>
      </c>
      <c r="E70" s="194">
        <v>75</v>
      </c>
      <c r="F70" s="182">
        <v>0.16</v>
      </c>
      <c r="G70" s="193"/>
    </row>
  </sheetData>
  <mergeCells count="49">
    <mergeCell ref="G38:G47"/>
    <mergeCell ref="A45:B45"/>
    <mergeCell ref="A46:B46"/>
    <mergeCell ref="A47:B47"/>
    <mergeCell ref="A48:B48"/>
    <mergeCell ref="A40:B40"/>
    <mergeCell ref="A41:B41"/>
    <mergeCell ref="A42:B42"/>
    <mergeCell ref="A43:B43"/>
    <mergeCell ref="A44:B44"/>
    <mergeCell ref="A70:B70"/>
    <mergeCell ref="A49:A54"/>
    <mergeCell ref="A55:A56"/>
    <mergeCell ref="A57:A61"/>
    <mergeCell ref="A62:A69"/>
    <mergeCell ref="A35:B35"/>
    <mergeCell ref="A36:B36"/>
    <mergeCell ref="A37:B37"/>
    <mergeCell ref="A38:B38"/>
    <mergeCell ref="A39:B39"/>
    <mergeCell ref="A30:B30"/>
    <mergeCell ref="A31:B31"/>
    <mergeCell ref="A32:B32"/>
    <mergeCell ref="A33:B33"/>
    <mergeCell ref="A34:B34"/>
    <mergeCell ref="A25:B25"/>
    <mergeCell ref="A26:B26"/>
    <mergeCell ref="A27:B27"/>
    <mergeCell ref="A28:B28"/>
    <mergeCell ref="A29:B29"/>
    <mergeCell ref="A18:B18"/>
    <mergeCell ref="A19:B19"/>
    <mergeCell ref="A20:B20"/>
    <mergeCell ref="A21:B21"/>
    <mergeCell ref="A24:B24"/>
    <mergeCell ref="A22:A23"/>
    <mergeCell ref="A13:B13"/>
    <mergeCell ref="A14:B14"/>
    <mergeCell ref="A15:B15"/>
    <mergeCell ref="A16:B16"/>
    <mergeCell ref="A17:B17"/>
    <mergeCell ref="A1:G1"/>
    <mergeCell ref="F2:G2"/>
    <mergeCell ref="A10:B10"/>
    <mergeCell ref="A11:B11"/>
    <mergeCell ref="A12:B12"/>
    <mergeCell ref="A4:A9"/>
    <mergeCell ref="G4:G6"/>
    <mergeCell ref="G7:G9"/>
  </mergeCells>
  <phoneticPr fontId="98" type="noConversion"/>
  <pageMargins left="0.69930555555555596" right="0.69930555555555596" top="0.75" bottom="0.75" header="0.3" footer="0.3"/>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52"/>
  <sheetViews>
    <sheetView view="pageBreakPreview" topLeftCell="A7" zoomScaleNormal="100" workbookViewId="0">
      <selection activeCell="B3" sqref="B3:B4"/>
    </sheetView>
  </sheetViews>
  <sheetFormatPr defaultColWidth="9.109375" defaultRowHeight="13.2"/>
  <cols>
    <col min="1" max="1" width="29.5546875" customWidth="1"/>
    <col min="2" max="3" width="18.109375" customWidth="1"/>
    <col min="4" max="4" width="75.44140625" customWidth="1"/>
    <col min="7" max="7" width="16.109375" customWidth="1"/>
  </cols>
  <sheetData>
    <row r="1" spans="1:4" ht="31.5" customHeight="1">
      <c r="A1" s="437" t="s">
        <v>541</v>
      </c>
      <c r="B1" s="437"/>
      <c r="C1" s="437"/>
      <c r="D1" s="437"/>
    </row>
    <row r="2" spans="1:4" ht="21" customHeight="1">
      <c r="A2" s="150"/>
      <c r="B2" s="150"/>
      <c r="C2" s="151"/>
      <c r="D2" s="150"/>
    </row>
    <row r="3" spans="1:4" ht="12" customHeight="1">
      <c r="A3" s="438" t="s">
        <v>542</v>
      </c>
      <c r="B3" s="439" t="s">
        <v>457</v>
      </c>
      <c r="C3" s="152"/>
      <c r="D3" s="441" t="s">
        <v>543</v>
      </c>
    </row>
    <row r="4" spans="1:4" ht="21" customHeight="1">
      <c r="A4" s="438"/>
      <c r="B4" s="440"/>
      <c r="C4" s="153"/>
      <c r="D4" s="441"/>
    </row>
    <row r="5" spans="1:4" ht="45" customHeight="1">
      <c r="A5" s="154" t="s">
        <v>544</v>
      </c>
      <c r="B5" s="155" t="s">
        <v>545</v>
      </c>
      <c r="C5" s="156"/>
      <c r="D5" s="157" t="s">
        <v>545</v>
      </c>
    </row>
    <row r="6" spans="1:4" ht="45" customHeight="1">
      <c r="A6" s="158" t="s">
        <v>546</v>
      </c>
      <c r="B6" s="159">
        <f>4*5890000</f>
        <v>23560000</v>
      </c>
      <c r="C6" s="160">
        <f>B6</f>
        <v>23560000</v>
      </c>
      <c r="D6" s="161" t="s">
        <v>547</v>
      </c>
    </row>
    <row r="7" spans="1:4" ht="45" customHeight="1">
      <c r="A7" s="158" t="s">
        <v>548</v>
      </c>
      <c r="B7" s="159">
        <f>SUM(B8:B13)</f>
        <v>3949564</v>
      </c>
      <c r="C7" s="160"/>
      <c r="D7" s="162"/>
    </row>
    <row r="8" spans="1:4" ht="45" customHeight="1">
      <c r="A8" s="163" t="s">
        <v>549</v>
      </c>
      <c r="B8" s="159">
        <v>136000</v>
      </c>
      <c r="C8" s="160">
        <f>500*68*4</f>
        <v>136000</v>
      </c>
      <c r="D8" s="164" t="s">
        <v>550</v>
      </c>
    </row>
    <row r="9" spans="1:4" ht="45" customHeight="1">
      <c r="A9" s="163" t="s">
        <v>551</v>
      </c>
      <c r="B9" s="159">
        <v>40000</v>
      </c>
      <c r="C9" s="160">
        <f>5*2000*4</f>
        <v>40000</v>
      </c>
      <c r="D9" s="161" t="s">
        <v>552</v>
      </c>
    </row>
    <row r="10" spans="1:4" ht="45" customHeight="1">
      <c r="A10" s="163" t="s">
        <v>553</v>
      </c>
      <c r="B10" s="159">
        <f>238080+1737984+14600+40000</f>
        <v>2030664</v>
      </c>
      <c r="C10" s="160">
        <f>10*12*4*30*16+71*16*30*12*4+50*71*4+5*2000*4</f>
        <v>1920440</v>
      </c>
      <c r="D10" s="164" t="s">
        <v>554</v>
      </c>
    </row>
    <row r="11" spans="1:4" ht="45" customHeight="1">
      <c r="A11" s="163" t="s">
        <v>555</v>
      </c>
      <c r="B11" s="159">
        <f>500*10*4+3000*58*4</f>
        <v>716000</v>
      </c>
      <c r="C11" s="160">
        <f>500*10*4+3000*58*4</f>
        <v>716000</v>
      </c>
      <c r="D11" s="161" t="s">
        <v>556</v>
      </c>
    </row>
    <row r="12" spans="1:4" ht="45" customHeight="1">
      <c r="A12" s="163" t="s">
        <v>557</v>
      </c>
      <c r="B12" s="159">
        <v>489600</v>
      </c>
      <c r="C12" s="160">
        <f>150*12*4*68</f>
        <v>489600</v>
      </c>
      <c r="D12" s="164" t="s">
        <v>558</v>
      </c>
    </row>
    <row r="13" spans="1:4" ht="45" customHeight="1">
      <c r="A13" s="163" t="s">
        <v>559</v>
      </c>
      <c r="B13" s="159">
        <f>8000*12*4+109500+43800</f>
        <v>537300</v>
      </c>
      <c r="C13" s="160">
        <f>2000*4*12*4+73*1500+600*73</f>
        <v>537300</v>
      </c>
      <c r="D13" s="164" t="s">
        <v>560</v>
      </c>
    </row>
    <row r="14" spans="1:4" ht="45" customHeight="1">
      <c r="A14" s="158" t="s">
        <v>561</v>
      </c>
      <c r="B14" s="159">
        <v>48000</v>
      </c>
      <c r="C14" s="160">
        <f>2000*4*3+2*3*1000*4</f>
        <v>48000</v>
      </c>
      <c r="D14" s="164" t="s">
        <v>562</v>
      </c>
    </row>
    <row r="15" spans="1:4" ht="45" customHeight="1">
      <c r="A15" s="158" t="s">
        <v>563</v>
      </c>
      <c r="B15" s="159">
        <v>800000</v>
      </c>
      <c r="C15" s="160">
        <f>B15</f>
        <v>800000</v>
      </c>
      <c r="D15" s="164" t="s">
        <v>564</v>
      </c>
    </row>
    <row r="16" spans="1:4" ht="45" customHeight="1">
      <c r="A16" s="165" t="s">
        <v>565</v>
      </c>
      <c r="B16" s="159">
        <v>3480000</v>
      </c>
      <c r="C16" s="160">
        <f>58*14000*4</f>
        <v>3248000</v>
      </c>
      <c r="D16" s="166" t="s">
        <v>566</v>
      </c>
    </row>
    <row r="17" spans="1:7" ht="45" customHeight="1">
      <c r="A17" s="158" t="s">
        <v>567</v>
      </c>
      <c r="B17" s="159">
        <f>+B18+B19+B20</f>
        <v>623040</v>
      </c>
      <c r="C17" s="160"/>
      <c r="D17" s="167"/>
    </row>
    <row r="18" spans="1:7" ht="45" customHeight="1">
      <c r="A18" s="168" t="s">
        <v>568</v>
      </c>
      <c r="B18" s="159">
        <f>5050*4*12+50000</f>
        <v>292400</v>
      </c>
      <c r="C18" s="160">
        <f>(600+400+400+600+1500+100+600+200+350+300)*12*4+50000</f>
        <v>292400</v>
      </c>
      <c r="D18" s="166" t="s">
        <v>569</v>
      </c>
      <c r="G18" s="169"/>
    </row>
    <row r="19" spans="1:7" ht="45" customHeight="1">
      <c r="A19" s="168" t="s">
        <v>570</v>
      </c>
      <c r="B19" s="159">
        <v>298000</v>
      </c>
      <c r="C19" s="160">
        <f>50000*2+3000*12*4*2</f>
        <v>388000</v>
      </c>
      <c r="D19" s="164" t="s">
        <v>571</v>
      </c>
    </row>
    <row r="20" spans="1:7" ht="45" customHeight="1">
      <c r="A20" s="168" t="s">
        <v>559</v>
      </c>
      <c r="B20" s="159">
        <v>32640</v>
      </c>
      <c r="C20" s="160">
        <f>40*12*12*4+10*20*12*4</f>
        <v>32640</v>
      </c>
      <c r="D20" s="164" t="s">
        <v>572</v>
      </c>
    </row>
    <row r="21" spans="1:7" ht="45" customHeight="1">
      <c r="A21" s="170" t="s">
        <v>573</v>
      </c>
      <c r="B21" s="159">
        <f>+B22+B23+B24+B25+B26+B27</f>
        <v>3405120</v>
      </c>
      <c r="C21" s="160"/>
      <c r="D21" s="167"/>
    </row>
    <row r="22" spans="1:7" ht="45" customHeight="1">
      <c r="A22" s="168" t="s">
        <v>574</v>
      </c>
      <c r="B22" s="159">
        <v>16000</v>
      </c>
      <c r="C22" s="160">
        <f>1*4000*4</f>
        <v>16000</v>
      </c>
      <c r="D22" s="164" t="s">
        <v>575</v>
      </c>
    </row>
    <row r="23" spans="1:7" ht="45" customHeight="1">
      <c r="A23" s="168" t="s">
        <v>576</v>
      </c>
      <c r="B23" s="159">
        <v>120000</v>
      </c>
      <c r="C23" s="160">
        <f>1*30000*4</f>
        <v>120000</v>
      </c>
      <c r="D23" s="164" t="s">
        <v>577</v>
      </c>
    </row>
    <row r="24" spans="1:7" ht="45" customHeight="1">
      <c r="A24" s="168" t="s">
        <v>578</v>
      </c>
      <c r="B24" s="159">
        <v>1048320</v>
      </c>
      <c r="C24" s="160">
        <f>6*4000*13/100*7*12*4</f>
        <v>1048320</v>
      </c>
      <c r="D24" s="166" t="s">
        <v>579</v>
      </c>
    </row>
    <row r="25" spans="1:7" ht="45" customHeight="1">
      <c r="A25" s="168" t="s">
        <v>580</v>
      </c>
      <c r="B25" s="159">
        <f>850*12*4</f>
        <v>40800</v>
      </c>
      <c r="C25" s="160">
        <f>600*12*4+200*12*4+50*12*4</f>
        <v>40800</v>
      </c>
      <c r="D25" s="164" t="s">
        <v>581</v>
      </c>
    </row>
    <row r="26" spans="1:7" ht="45" customHeight="1">
      <c r="A26" s="168" t="s">
        <v>582</v>
      </c>
      <c r="B26" s="159">
        <v>2160000</v>
      </c>
      <c r="C26" s="160">
        <f>8500*12*4*5+500*4*4*5</f>
        <v>2080000</v>
      </c>
      <c r="D26" s="164" t="s">
        <v>583</v>
      </c>
    </row>
    <row r="27" spans="1:7" ht="45" customHeight="1">
      <c r="A27" s="168" t="s">
        <v>559</v>
      </c>
      <c r="B27" s="159">
        <v>20000</v>
      </c>
      <c r="C27" s="160">
        <f>1000*4*4</f>
        <v>16000</v>
      </c>
      <c r="D27" s="164" t="s">
        <v>584</v>
      </c>
    </row>
    <row r="28" spans="1:7" ht="45" customHeight="1">
      <c r="A28" s="158" t="s">
        <v>585</v>
      </c>
      <c r="B28" s="159">
        <v>500000</v>
      </c>
      <c r="C28" s="160">
        <f>B28</f>
        <v>500000</v>
      </c>
      <c r="D28" s="164" t="s">
        <v>586</v>
      </c>
    </row>
    <row r="29" spans="1:7" ht="45" customHeight="1">
      <c r="A29" s="158" t="s">
        <v>587</v>
      </c>
      <c r="B29" s="159">
        <f>+B30+B31+B32</f>
        <v>887400</v>
      </c>
      <c r="C29" s="160"/>
      <c r="D29" s="167"/>
    </row>
    <row r="30" spans="1:7" ht="45" customHeight="1">
      <c r="A30" s="168" t="s">
        <v>588</v>
      </c>
      <c r="B30" s="159">
        <v>361000</v>
      </c>
      <c r="C30" s="160">
        <f>45*4000+30*2000+13*2000+5*7000+10*3000</f>
        <v>331000</v>
      </c>
      <c r="D30" s="164" t="s">
        <v>589</v>
      </c>
    </row>
    <row r="31" spans="1:7" ht="45" customHeight="1">
      <c r="A31" s="168" t="s">
        <v>590</v>
      </c>
      <c r="B31" s="159">
        <f>93*100*12*4</f>
        <v>446400</v>
      </c>
      <c r="C31" s="160">
        <f>(48+45)*50*12*4</f>
        <v>223200</v>
      </c>
      <c r="D31" s="164" t="s">
        <v>591</v>
      </c>
    </row>
    <row r="32" spans="1:7" ht="45" customHeight="1">
      <c r="A32" s="168" t="s">
        <v>559</v>
      </c>
      <c r="B32" s="159">
        <f>4*20000</f>
        <v>80000</v>
      </c>
      <c r="C32" s="160">
        <f>4*20000</f>
        <v>80000</v>
      </c>
      <c r="D32" s="164" t="s">
        <v>592</v>
      </c>
    </row>
    <row r="33" spans="1:4" ht="45" customHeight="1">
      <c r="A33" s="158" t="s">
        <v>593</v>
      </c>
      <c r="B33" s="159">
        <v>120000</v>
      </c>
      <c r="C33" s="160">
        <f>30000*4</f>
        <v>120000</v>
      </c>
      <c r="D33" s="164" t="s">
        <v>594</v>
      </c>
    </row>
    <row r="34" spans="1:4" ht="45" customHeight="1">
      <c r="A34" s="158" t="s">
        <v>595</v>
      </c>
      <c r="B34" s="159">
        <f>96000+20000</f>
        <v>116000</v>
      </c>
      <c r="C34" s="160">
        <f>2000*12*4+5000*4</f>
        <v>116000</v>
      </c>
      <c r="D34" s="164" t="s">
        <v>596</v>
      </c>
    </row>
    <row r="35" spans="1:4" ht="45" customHeight="1">
      <c r="A35" s="158" t="s">
        <v>597</v>
      </c>
      <c r="B35" s="159">
        <f>10500*4*12</f>
        <v>504000</v>
      </c>
      <c r="C35" s="160">
        <f>10500*12*4</f>
        <v>504000</v>
      </c>
      <c r="D35" s="164" t="s">
        <v>598</v>
      </c>
    </row>
    <row r="36" spans="1:4" ht="45" customHeight="1">
      <c r="A36" s="158" t="s">
        <v>599</v>
      </c>
      <c r="B36" s="159">
        <f>1456444022*0.5%</f>
        <v>7282220.1100000003</v>
      </c>
      <c r="C36" s="160">
        <f>B36</f>
        <v>7282220.1100000003</v>
      </c>
      <c r="D36" s="164" t="s">
        <v>600</v>
      </c>
    </row>
    <row r="37" spans="1:4" ht="45" customHeight="1">
      <c r="A37" s="158" t="s">
        <v>601</v>
      </c>
      <c r="B37" s="159">
        <v>420000</v>
      </c>
      <c r="C37" s="160">
        <f>360000+10000+50000</f>
        <v>420000</v>
      </c>
      <c r="D37" s="164" t="s">
        <v>602</v>
      </c>
    </row>
    <row r="38" spans="1:4" ht="45" customHeight="1">
      <c r="A38" s="158" t="s">
        <v>603</v>
      </c>
      <c r="B38" s="159">
        <v>1500000</v>
      </c>
      <c r="C38" s="160">
        <f>300000*5</f>
        <v>1500000</v>
      </c>
      <c r="D38" s="164" t="s">
        <v>604</v>
      </c>
    </row>
    <row r="39" spans="1:4" ht="45" customHeight="1">
      <c r="A39" s="158" t="s">
        <v>605</v>
      </c>
      <c r="B39" s="159">
        <f>3000*12*4</f>
        <v>144000</v>
      </c>
      <c r="C39" s="160">
        <f>3000*12*4</f>
        <v>144000</v>
      </c>
      <c r="D39" s="164" t="s">
        <v>606</v>
      </c>
    </row>
    <row r="40" spans="1:4" ht="45" customHeight="1">
      <c r="A40" s="165" t="s">
        <v>607</v>
      </c>
      <c r="B40" s="159">
        <v>2400000</v>
      </c>
      <c r="C40" s="160">
        <f>600000*4</f>
        <v>2400000</v>
      </c>
      <c r="D40" s="164" t="s">
        <v>608</v>
      </c>
    </row>
    <row r="41" spans="1:4" ht="45" customHeight="1">
      <c r="A41" s="158" t="s">
        <v>609</v>
      </c>
      <c r="B41" s="159">
        <f>5000*12*4</f>
        <v>240000</v>
      </c>
      <c r="C41" s="160">
        <f>B41</f>
        <v>240000</v>
      </c>
      <c r="D41" s="164" t="s">
        <v>610</v>
      </c>
    </row>
    <row r="42" spans="1:4" ht="45" customHeight="1">
      <c r="A42" s="171" t="s">
        <v>260</v>
      </c>
      <c r="B42" s="159">
        <f>+B6+B7+B14+B15+B16+B17+B21+B28+B29+B33+B34+B35+B36+B37+B38+B39+B40+B41</f>
        <v>49979344.109999999</v>
      </c>
      <c r="C42" s="160">
        <f>SUM(C6:C41)</f>
        <v>49389920.109999999</v>
      </c>
      <c r="D42" s="172"/>
    </row>
    <row r="43" spans="1:4">
      <c r="A43" s="442" t="s">
        <v>611</v>
      </c>
      <c r="B43" s="442"/>
      <c r="C43" s="442"/>
      <c r="D43" s="442"/>
    </row>
    <row r="44" spans="1:4">
      <c r="A44" s="443"/>
      <c r="B44" s="443"/>
      <c r="C44" s="443"/>
      <c r="D44" s="443"/>
    </row>
    <row r="45" spans="1:4">
      <c r="A45" s="443"/>
      <c r="B45" s="443"/>
      <c r="C45" s="443"/>
      <c r="D45" s="443"/>
    </row>
    <row r="46" spans="1:4">
      <c r="A46" s="443"/>
      <c r="B46" s="443"/>
      <c r="C46" s="443"/>
      <c r="D46" s="443"/>
    </row>
    <row r="47" spans="1:4">
      <c r="A47" s="443"/>
      <c r="B47" s="443"/>
      <c r="C47" s="443"/>
      <c r="D47" s="443"/>
    </row>
    <row r="50" spans="1:4">
      <c r="A50" s="173"/>
      <c r="B50" s="173"/>
      <c r="C50" s="174"/>
      <c r="D50" s="173"/>
    </row>
    <row r="52" spans="1:4">
      <c r="D52">
        <f>C42-B42</f>
        <v>-589424</v>
      </c>
    </row>
  </sheetData>
  <mergeCells count="5">
    <mergeCell ref="A1:D1"/>
    <mergeCell ref="A3:A4"/>
    <mergeCell ref="B3:B4"/>
    <mergeCell ref="D3:D4"/>
    <mergeCell ref="A43:D47"/>
  </mergeCells>
  <phoneticPr fontId="98" type="noConversion"/>
  <pageMargins left="0.69930555555555596" right="0.69930555555555596" top="0.86875000000000002" bottom="0.78888888888888897" header="0.11874999999999999" footer="3.8888888888888903E-2"/>
  <pageSetup paperSize="9" scale="74" orientation="portrait"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00000"/>
  </sheetPr>
  <dimension ref="A1:H25"/>
  <sheetViews>
    <sheetView workbookViewId="0">
      <pane xSplit="1" ySplit="4" topLeftCell="B10" activePane="bottomRight" state="frozen"/>
      <selection pane="topRight"/>
      <selection pane="bottomLeft"/>
      <selection pane="bottomRight" activeCell="D20" sqref="D20"/>
    </sheetView>
  </sheetViews>
  <sheetFormatPr defaultColWidth="10.33203125" defaultRowHeight="13.2"/>
  <cols>
    <col min="1" max="1" width="5.6640625" customWidth="1"/>
    <col min="2" max="2" width="14.5546875" customWidth="1"/>
    <col min="3" max="3" width="11" customWidth="1"/>
    <col min="4" max="4" width="12.88671875" style="122" customWidth="1"/>
    <col min="5" max="5" width="13.109375" customWidth="1"/>
    <col min="6" max="6" width="19.88671875" customWidth="1"/>
    <col min="7" max="7" width="12.109375" customWidth="1"/>
    <col min="8" max="8" width="44.5546875" customWidth="1"/>
  </cols>
  <sheetData>
    <row r="1" spans="1:8" ht="30" customHeight="1">
      <c r="A1" s="449" t="s">
        <v>27</v>
      </c>
      <c r="B1" s="449"/>
      <c r="C1" s="449"/>
      <c r="D1" s="450"/>
      <c r="E1" s="451"/>
      <c r="F1" s="451"/>
      <c r="G1" s="451"/>
      <c r="H1" s="449"/>
    </row>
    <row r="2" spans="1:8" ht="15" customHeight="1">
      <c r="A2" s="452" t="s">
        <v>612</v>
      </c>
      <c r="B2" s="452"/>
      <c r="C2" s="452"/>
      <c r="D2" s="452"/>
      <c r="E2" s="452"/>
      <c r="F2" s="123"/>
      <c r="G2" s="123"/>
      <c r="H2" s="124" t="s">
        <v>613</v>
      </c>
    </row>
    <row r="3" spans="1:8" ht="24" customHeight="1">
      <c r="A3" s="447" t="s">
        <v>4</v>
      </c>
      <c r="B3" s="453" t="s">
        <v>614</v>
      </c>
      <c r="C3" s="453" t="s">
        <v>58</v>
      </c>
      <c r="D3" s="455" t="s">
        <v>59</v>
      </c>
      <c r="E3" s="457" t="s">
        <v>615</v>
      </c>
      <c r="F3" s="459" t="s">
        <v>616</v>
      </c>
      <c r="G3" s="453" t="s">
        <v>617</v>
      </c>
      <c r="H3" s="447" t="s">
        <v>12</v>
      </c>
    </row>
    <row r="4" spans="1:8" ht="24" customHeight="1">
      <c r="A4" s="448"/>
      <c r="B4" s="454"/>
      <c r="C4" s="454"/>
      <c r="D4" s="456"/>
      <c r="E4" s="458"/>
      <c r="F4" s="460"/>
      <c r="G4" s="454"/>
      <c r="H4" s="448"/>
    </row>
    <row r="5" spans="1:8" ht="24.9" hidden="1" customHeight="1">
      <c r="A5" s="125">
        <v>1</v>
      </c>
      <c r="B5" s="125" t="s">
        <v>618</v>
      </c>
      <c r="C5" s="125" t="s">
        <v>619</v>
      </c>
      <c r="D5" s="126">
        <f>[60]成测表1!D40</f>
        <v>46324165</v>
      </c>
      <c r="E5" s="127">
        <v>6.0000000000000001E-3</v>
      </c>
      <c r="F5" s="128">
        <f t="shared" ref="F5:F9" si="0">ROUND(D5*E5,0)</f>
        <v>277945</v>
      </c>
      <c r="G5" s="444"/>
      <c r="H5" s="444" t="s">
        <v>620</v>
      </c>
    </row>
    <row r="6" spans="1:8" ht="24.9" hidden="1" customHeight="1">
      <c r="A6" s="125">
        <v>2</v>
      </c>
      <c r="B6" s="125" t="s">
        <v>621</v>
      </c>
      <c r="C6" s="125" t="s">
        <v>619</v>
      </c>
      <c r="D6" s="126">
        <f>[60]成测表1!D40</f>
        <v>46324165</v>
      </c>
      <c r="E6" s="127">
        <v>3.0000000000000001E-3</v>
      </c>
      <c r="F6" s="128">
        <f t="shared" si="0"/>
        <v>138972</v>
      </c>
      <c r="G6" s="445"/>
      <c r="H6" s="445"/>
    </row>
    <row r="7" spans="1:8" ht="24.9" hidden="1" customHeight="1">
      <c r="A7" s="125">
        <v>3</v>
      </c>
      <c r="B7" s="125" t="s">
        <v>68</v>
      </c>
      <c r="C7" s="125" t="s">
        <v>619</v>
      </c>
      <c r="D7" s="126">
        <f>[60]成测表1!D40</f>
        <v>46324165</v>
      </c>
      <c r="E7" s="127">
        <v>1E-3</v>
      </c>
      <c r="F7" s="128">
        <f t="shared" si="0"/>
        <v>46324</v>
      </c>
      <c r="G7" s="446"/>
      <c r="H7" s="446"/>
    </row>
    <row r="8" spans="1:8" ht="24.9" hidden="1" customHeight="1">
      <c r="A8" s="129">
        <v>4</v>
      </c>
      <c r="B8" s="130" t="s">
        <v>622</v>
      </c>
      <c r="C8" s="129" t="s">
        <v>619</v>
      </c>
      <c r="D8" s="131">
        <f>[60]成测表1!D40</f>
        <v>46324165</v>
      </c>
      <c r="E8" s="132">
        <v>8.9999999999999993E-3</v>
      </c>
      <c r="F8" s="128">
        <f t="shared" si="0"/>
        <v>416917</v>
      </c>
      <c r="G8" s="129"/>
      <c r="H8" s="129" t="s">
        <v>623</v>
      </c>
    </row>
    <row r="9" spans="1:8" s="121" customFormat="1" ht="24.9" hidden="1" customHeight="1">
      <c r="A9" s="129">
        <v>5</v>
      </c>
      <c r="B9" s="133" t="s">
        <v>624</v>
      </c>
      <c r="C9" s="133" t="s">
        <v>625</v>
      </c>
      <c r="D9" s="134">
        <v>1</v>
      </c>
      <c r="E9" s="135">
        <v>80000</v>
      </c>
      <c r="F9" s="136">
        <f t="shared" si="0"/>
        <v>80000</v>
      </c>
      <c r="G9" s="129"/>
      <c r="H9" s="129" t="s">
        <v>626</v>
      </c>
    </row>
    <row r="10" spans="1:8" s="121" customFormat="1" ht="24.9" customHeight="1">
      <c r="A10" s="129"/>
      <c r="B10" s="129"/>
      <c r="C10" s="137"/>
      <c r="D10" s="131"/>
      <c r="E10" s="131"/>
      <c r="F10" s="138"/>
      <c r="G10" s="131"/>
      <c r="H10" s="139"/>
    </row>
    <row r="11" spans="1:8" s="121" customFormat="1" ht="24.9" customHeight="1">
      <c r="A11" s="129"/>
      <c r="B11" s="129"/>
      <c r="C11" s="137"/>
      <c r="D11" s="131"/>
      <c r="E11" s="131"/>
      <c r="F11" s="138"/>
      <c r="G11" s="131"/>
      <c r="H11" s="139"/>
    </row>
    <row r="12" spans="1:8" s="121" customFormat="1" ht="24.9" customHeight="1">
      <c r="A12" s="129"/>
      <c r="B12" s="129"/>
      <c r="C12" s="137"/>
      <c r="D12" s="131"/>
      <c r="E12" s="131"/>
      <c r="F12" s="138"/>
      <c r="G12" s="131"/>
      <c r="H12" s="139"/>
    </row>
    <row r="13" spans="1:8" s="121" customFormat="1" ht="24.9" customHeight="1">
      <c r="A13" s="129"/>
      <c r="B13" s="129"/>
      <c r="C13" s="137"/>
      <c r="D13" s="131"/>
      <c r="E13" s="131"/>
      <c r="F13" s="138"/>
      <c r="G13" s="131"/>
      <c r="H13" s="139"/>
    </row>
    <row r="14" spans="1:8" s="121" customFormat="1" ht="24.9" customHeight="1">
      <c r="A14" s="129"/>
      <c r="B14" s="129"/>
      <c r="C14" s="140"/>
      <c r="D14" s="131"/>
      <c r="E14" s="131"/>
      <c r="F14" s="138"/>
      <c r="G14" s="131"/>
      <c r="H14" s="139"/>
    </row>
    <row r="15" spans="1:8" s="121" customFormat="1" ht="24.9" customHeight="1">
      <c r="A15" s="129"/>
      <c r="B15" s="129"/>
      <c r="C15" s="140"/>
      <c r="D15" s="131"/>
      <c r="E15" s="131"/>
      <c r="F15" s="138"/>
      <c r="G15" s="131"/>
      <c r="H15" s="139"/>
    </row>
    <row r="16" spans="1:8" s="121" customFormat="1" ht="24.9" customHeight="1">
      <c r="A16" s="129"/>
      <c r="B16" s="129"/>
      <c r="C16" s="141"/>
      <c r="D16" s="131"/>
      <c r="E16" s="131"/>
      <c r="F16" s="138"/>
      <c r="G16" s="131"/>
      <c r="H16" s="139"/>
    </row>
    <row r="17" spans="1:8" s="121" customFormat="1" ht="24.9" customHeight="1">
      <c r="A17" s="129"/>
      <c r="B17" s="129"/>
      <c r="C17" s="141"/>
      <c r="D17" s="131"/>
      <c r="E17" s="131"/>
      <c r="F17" s="138"/>
      <c r="G17" s="131"/>
      <c r="H17" s="142"/>
    </row>
    <row r="18" spans="1:8" ht="24.9" customHeight="1">
      <c r="A18" s="129"/>
      <c r="B18" s="133"/>
      <c r="C18" s="133"/>
      <c r="D18" s="134"/>
      <c r="E18" s="133"/>
      <c r="F18" s="143"/>
      <c r="G18" s="129"/>
      <c r="H18" s="133"/>
    </row>
    <row r="19" spans="1:8" ht="24.9" customHeight="1">
      <c r="A19" s="129"/>
      <c r="B19" s="129"/>
      <c r="C19" s="129"/>
      <c r="D19" s="131"/>
      <c r="E19" s="144"/>
      <c r="F19" s="143"/>
      <c r="G19" s="129"/>
      <c r="H19" s="129"/>
    </row>
    <row r="20" spans="1:8" ht="24.9" customHeight="1">
      <c r="A20" s="145" t="s">
        <v>260</v>
      </c>
      <c r="B20" s="145"/>
      <c r="C20" s="129"/>
      <c r="D20" s="131"/>
      <c r="E20" s="146"/>
      <c r="F20" s="147">
        <v>0</v>
      </c>
      <c r="G20" s="148"/>
      <c r="H20" s="149"/>
    </row>
    <row r="21" spans="1:8" ht="15" customHeight="1"/>
    <row r="22" spans="1:8" ht="15" customHeight="1"/>
    <row r="23" spans="1:8" ht="15" customHeight="1"/>
    <row r="24" spans="1:8" ht="15" customHeight="1"/>
    <row r="25" spans="1:8" ht="15" customHeight="1"/>
  </sheetData>
  <mergeCells count="12">
    <mergeCell ref="G5:G7"/>
    <mergeCell ref="H3:H4"/>
    <mergeCell ref="H5:H7"/>
    <mergeCell ref="A1:H1"/>
    <mergeCell ref="A2:E2"/>
    <mergeCell ref="A3:A4"/>
    <mergeCell ref="B3:B4"/>
    <mergeCell ref="C3:C4"/>
    <mergeCell ref="D3:D4"/>
    <mergeCell ref="E3:E4"/>
    <mergeCell ref="F3:F4"/>
    <mergeCell ref="G3:G4"/>
  </mergeCells>
  <phoneticPr fontId="98" type="noConversion"/>
  <conditionalFormatting sqref="A2">
    <cfRule type="cellIs" dxfId="2" priority="1" operator="equal">
      <formula>0</formula>
    </cfRule>
  </conditionalFormatting>
  <pageMargins left="0.75" right="0.75" top="1" bottom="1" header="0.5" footer="0.5"/>
  <pageSetup paperSize="9" orientation="portrait"/>
  <headerFooter scaleWithDoc="0"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00000"/>
  </sheetPr>
  <dimension ref="A1:E44"/>
  <sheetViews>
    <sheetView topLeftCell="A34" workbookViewId="0">
      <selection activeCell="H51" sqref="H51"/>
    </sheetView>
  </sheetViews>
  <sheetFormatPr defaultColWidth="9.109375" defaultRowHeight="12"/>
  <cols>
    <col min="1" max="1" width="23.6640625" style="93" customWidth="1"/>
    <col min="2" max="2" width="23.88671875" style="93" customWidth="1"/>
    <col min="3" max="3" width="57.109375" style="93" customWidth="1"/>
    <col min="4" max="4" width="26.33203125" style="93" customWidth="1"/>
    <col min="5" max="5" width="16.33203125" style="93" customWidth="1"/>
    <col min="6" max="7" width="12.88671875" style="93"/>
    <col min="8" max="16384" width="9.109375" style="93"/>
  </cols>
  <sheetData>
    <row r="1" spans="1:5" ht="31.5" customHeight="1">
      <c r="A1" s="461" t="s">
        <v>541</v>
      </c>
      <c r="B1" s="462"/>
      <c r="C1" s="461"/>
      <c r="D1" s="461"/>
      <c r="E1" s="461"/>
    </row>
    <row r="2" spans="1:5" ht="21" customHeight="1">
      <c r="A2" s="94"/>
      <c r="B2" s="95"/>
      <c r="C2" s="94"/>
      <c r="E2" s="93" t="s">
        <v>627</v>
      </c>
    </row>
    <row r="3" spans="1:5" ht="12" customHeight="1">
      <c r="A3" s="465" t="s">
        <v>542</v>
      </c>
      <c r="B3" s="466" t="s">
        <v>628</v>
      </c>
      <c r="C3" s="468" t="s">
        <v>543</v>
      </c>
      <c r="D3" s="469" t="s">
        <v>617</v>
      </c>
      <c r="E3" s="469" t="s">
        <v>12</v>
      </c>
    </row>
    <row r="4" spans="1:5" ht="21" customHeight="1">
      <c r="A4" s="465"/>
      <c r="B4" s="467"/>
      <c r="C4" s="468"/>
      <c r="D4" s="470"/>
      <c r="E4" s="470"/>
    </row>
    <row r="5" spans="1:5" ht="45" customHeight="1">
      <c r="A5" s="96" t="s">
        <v>544</v>
      </c>
      <c r="B5" s="97"/>
      <c r="C5" s="98" t="s">
        <v>545</v>
      </c>
      <c r="D5" s="99"/>
      <c r="E5" s="99"/>
    </row>
    <row r="6" spans="1:5" ht="60">
      <c r="A6" s="100" t="s">
        <v>546</v>
      </c>
      <c r="B6" s="101">
        <f>530000+350000*9+424000*12*2+416000+11*6000*12*2</f>
        <v>15856000</v>
      </c>
      <c r="C6" s="102" t="s">
        <v>629</v>
      </c>
      <c r="D6" s="103" t="s">
        <v>630</v>
      </c>
      <c r="E6" s="99"/>
    </row>
    <row r="7" spans="1:5" ht="45" customHeight="1">
      <c r="A7" s="100" t="s">
        <v>548</v>
      </c>
      <c r="B7" s="101"/>
      <c r="C7" s="104"/>
      <c r="D7" s="103" t="s">
        <v>630</v>
      </c>
      <c r="E7" s="99"/>
    </row>
    <row r="8" spans="1:5" ht="45" customHeight="1">
      <c r="A8" s="105" t="s">
        <v>549</v>
      </c>
      <c r="B8" s="101">
        <f>1100*63*3+1100*11*2</f>
        <v>232100</v>
      </c>
      <c r="C8" s="106" t="s">
        <v>631</v>
      </c>
      <c r="D8" s="103" t="s">
        <v>630</v>
      </c>
      <c r="E8" s="99"/>
    </row>
    <row r="9" spans="1:5" ht="45" customHeight="1">
      <c r="A9" s="105" t="s">
        <v>551</v>
      </c>
      <c r="B9" s="101"/>
      <c r="C9" s="107"/>
      <c r="D9" s="103" t="s">
        <v>630</v>
      </c>
      <c r="E9" s="99"/>
    </row>
    <row r="10" spans="1:5" ht="45" customHeight="1">
      <c r="A10" s="105" t="s">
        <v>553</v>
      </c>
      <c r="B10" s="108">
        <f>(10+63+5)*16*30*12*3+4*50*63*3+15*1000*3+80000+(11*16*30*12*2)</f>
        <v>1637360</v>
      </c>
      <c r="C10" s="102" t="s">
        <v>632</v>
      </c>
      <c r="D10" s="103" t="s">
        <v>630</v>
      </c>
      <c r="E10" s="99"/>
    </row>
    <row r="11" spans="1:5" ht="45" customHeight="1">
      <c r="A11" s="105" t="s">
        <v>555</v>
      </c>
      <c r="B11" s="109">
        <f>(500*2*5+2000*2*45)*3+2000*2*11</f>
        <v>599000</v>
      </c>
      <c r="C11" s="110" t="s">
        <v>633</v>
      </c>
      <c r="D11" s="103" t="s">
        <v>630</v>
      </c>
      <c r="E11" s="99"/>
    </row>
    <row r="12" spans="1:5" ht="45" customHeight="1">
      <c r="A12" s="105" t="s">
        <v>557</v>
      </c>
      <c r="B12" s="101"/>
      <c r="C12" s="102"/>
      <c r="D12" s="103" t="s">
        <v>630</v>
      </c>
      <c r="E12" s="99"/>
    </row>
    <row r="13" spans="1:5" ht="45" customHeight="1">
      <c r="A13" s="105" t="s">
        <v>559</v>
      </c>
      <c r="B13" s="108">
        <f>271000+(500+500)*12*2+11*1000+11*100</f>
        <v>307100</v>
      </c>
      <c r="C13" s="102" t="s">
        <v>634</v>
      </c>
      <c r="D13" s="103" t="s">
        <v>630</v>
      </c>
      <c r="E13" s="99"/>
    </row>
    <row r="14" spans="1:5" ht="45" customHeight="1">
      <c r="A14" s="100" t="s">
        <v>561</v>
      </c>
      <c r="B14" s="108">
        <v>48000</v>
      </c>
      <c r="C14" s="102" t="s">
        <v>635</v>
      </c>
      <c r="D14" s="103" t="s">
        <v>630</v>
      </c>
      <c r="E14" s="99"/>
    </row>
    <row r="15" spans="1:5" ht="45" customHeight="1">
      <c r="A15" s="100" t="s">
        <v>563</v>
      </c>
      <c r="B15" s="101">
        <v>800000</v>
      </c>
      <c r="C15" s="102" t="s">
        <v>636</v>
      </c>
      <c r="D15" s="103" t="s">
        <v>630</v>
      </c>
      <c r="E15" s="99"/>
    </row>
    <row r="16" spans="1:5" ht="45" customHeight="1">
      <c r="A16" s="111" t="s">
        <v>565</v>
      </c>
      <c r="B16" s="108">
        <f>1996000+14000*11*2</f>
        <v>2304000</v>
      </c>
      <c r="C16" s="102" t="s">
        <v>637</v>
      </c>
      <c r="D16" s="103" t="s">
        <v>630</v>
      </c>
      <c r="E16" s="99"/>
    </row>
    <row r="17" spans="1:5" ht="38.25" customHeight="1">
      <c r="A17" s="100" t="s">
        <v>567</v>
      </c>
      <c r="B17" s="101"/>
      <c r="C17" s="104"/>
      <c r="D17" s="112" t="s">
        <v>638</v>
      </c>
      <c r="E17" s="99"/>
    </row>
    <row r="18" spans="1:5" ht="78" customHeight="1">
      <c r="A18" s="113" t="s">
        <v>568</v>
      </c>
      <c r="B18" s="108">
        <v>231800</v>
      </c>
      <c r="C18" s="102" t="s">
        <v>639</v>
      </c>
      <c r="D18" s="112" t="s">
        <v>638</v>
      </c>
      <c r="E18" s="99"/>
    </row>
    <row r="19" spans="1:5" ht="45" customHeight="1">
      <c r="A19" s="113" t="s">
        <v>570</v>
      </c>
      <c r="B19" s="114">
        <f>5000*2+300000+5000*36+2500*12*2</f>
        <v>550000</v>
      </c>
      <c r="C19" s="115" t="s">
        <v>640</v>
      </c>
      <c r="D19" s="112" t="s">
        <v>638</v>
      </c>
      <c r="E19" s="99"/>
    </row>
    <row r="20" spans="1:5" ht="45" customHeight="1">
      <c r="A20" s="113" t="s">
        <v>559</v>
      </c>
      <c r="B20" s="114">
        <f>96480+2*12*12*2+500*12*2</f>
        <v>109056</v>
      </c>
      <c r="C20" s="115" t="s">
        <v>641</v>
      </c>
      <c r="D20" s="112" t="s">
        <v>638</v>
      </c>
      <c r="E20" s="99"/>
    </row>
    <row r="21" spans="1:5" ht="34.5" customHeight="1">
      <c r="A21" s="116" t="s">
        <v>573</v>
      </c>
      <c r="B21" s="101"/>
      <c r="C21" s="104"/>
      <c r="D21" s="112" t="s">
        <v>638</v>
      </c>
      <c r="E21" s="99"/>
    </row>
    <row r="22" spans="1:5" ht="45" customHeight="1">
      <c r="A22" s="113" t="s">
        <v>574</v>
      </c>
      <c r="B22" s="101">
        <f>33600</f>
        <v>33600</v>
      </c>
      <c r="C22" s="102" t="s">
        <v>642</v>
      </c>
      <c r="D22" s="112" t="s">
        <v>638</v>
      </c>
      <c r="E22" s="99"/>
    </row>
    <row r="23" spans="1:5" ht="81.75" customHeight="1">
      <c r="A23" s="113" t="s">
        <v>576</v>
      </c>
      <c r="B23" s="101">
        <f>8*1200*3*2+6*5000*3*2+2*2500*3*2+25000*3</f>
        <v>342600</v>
      </c>
      <c r="C23" s="102" t="s">
        <v>643</v>
      </c>
      <c r="D23" s="117" t="s">
        <v>644</v>
      </c>
      <c r="E23" s="99"/>
    </row>
    <row r="24" spans="1:5" ht="45" customHeight="1">
      <c r="A24" s="113" t="s">
        <v>578</v>
      </c>
      <c r="B24" s="101">
        <f>957280+4000*13/100*7*12*2</f>
        <v>1044640</v>
      </c>
      <c r="C24" s="102" t="s">
        <v>645</v>
      </c>
      <c r="D24" s="118" t="s">
        <v>646</v>
      </c>
      <c r="E24" s="103"/>
    </row>
    <row r="25" spans="1:5" ht="45" customHeight="1">
      <c r="A25" s="113" t="s">
        <v>580</v>
      </c>
      <c r="B25" s="101">
        <f>103320+350*12*2*1+60*12*1</f>
        <v>112440</v>
      </c>
      <c r="C25" s="102" t="s">
        <v>647</v>
      </c>
      <c r="D25" s="118" t="s">
        <v>646</v>
      </c>
      <c r="E25" s="99"/>
    </row>
    <row r="26" spans="1:5" ht="45" customHeight="1">
      <c r="A26" s="113" t="s">
        <v>582</v>
      </c>
      <c r="B26" s="101">
        <f>1663000+(8500+500)*12*2</f>
        <v>1879000</v>
      </c>
      <c r="C26" s="102" t="s">
        <v>648</v>
      </c>
      <c r="D26" s="118" t="s">
        <v>646</v>
      </c>
      <c r="E26" s="99"/>
    </row>
    <row r="27" spans="1:5" ht="45" customHeight="1">
      <c r="A27" s="113" t="s">
        <v>559</v>
      </c>
      <c r="B27" s="101">
        <v>54000</v>
      </c>
      <c r="C27" s="102" t="s">
        <v>649</v>
      </c>
      <c r="D27" s="118" t="s">
        <v>646</v>
      </c>
      <c r="E27" s="99"/>
    </row>
    <row r="28" spans="1:5" ht="45" customHeight="1">
      <c r="A28" s="100" t="s">
        <v>585</v>
      </c>
      <c r="B28" s="101">
        <v>500000</v>
      </c>
      <c r="C28" s="102" t="s">
        <v>586</v>
      </c>
      <c r="D28" s="118" t="s">
        <v>650</v>
      </c>
      <c r="E28" s="99"/>
    </row>
    <row r="29" spans="1:5" ht="45" customHeight="1">
      <c r="A29" s="100" t="s">
        <v>587</v>
      </c>
      <c r="B29" s="101"/>
      <c r="C29" s="104"/>
      <c r="D29" s="99"/>
      <c r="E29" s="99"/>
    </row>
    <row r="30" spans="1:5" ht="93" customHeight="1">
      <c r="A30" s="113" t="s">
        <v>588</v>
      </c>
      <c r="B30" s="101">
        <v>413316</v>
      </c>
      <c r="C30" s="102" t="s">
        <v>651</v>
      </c>
      <c r="D30" s="99"/>
      <c r="E30" s="99"/>
    </row>
    <row r="31" spans="1:5" ht="52.2" customHeight="1">
      <c r="A31" s="113" t="s">
        <v>590</v>
      </c>
      <c r="B31" s="101">
        <v>173400</v>
      </c>
      <c r="C31" s="102" t="s">
        <v>652</v>
      </c>
      <c r="D31" s="99"/>
      <c r="E31" s="99"/>
    </row>
    <row r="32" spans="1:5" ht="45" customHeight="1">
      <c r="A32" s="113" t="s">
        <v>559</v>
      </c>
      <c r="B32" s="101">
        <v>60000</v>
      </c>
      <c r="C32" s="102" t="s">
        <v>653</v>
      </c>
      <c r="D32" s="112" t="s">
        <v>654</v>
      </c>
      <c r="E32" s="99"/>
    </row>
    <row r="33" spans="1:5" ht="71.25" customHeight="1">
      <c r="A33" s="100" t="s">
        <v>655</v>
      </c>
      <c r="B33" s="101">
        <v>520000</v>
      </c>
      <c r="C33" s="102" t="s">
        <v>656</v>
      </c>
      <c r="D33" s="112" t="s">
        <v>654</v>
      </c>
      <c r="E33" s="99"/>
    </row>
    <row r="34" spans="1:5" ht="45" customHeight="1">
      <c r="A34" s="100" t="s">
        <v>657</v>
      </c>
      <c r="B34" s="101">
        <v>87000</v>
      </c>
      <c r="C34" s="102" t="s">
        <v>658</v>
      </c>
      <c r="D34" s="112" t="s">
        <v>654</v>
      </c>
      <c r="E34" s="99"/>
    </row>
    <row r="35" spans="1:5" ht="45" customHeight="1">
      <c r="A35" s="100" t="s">
        <v>597</v>
      </c>
      <c r="B35" s="101">
        <v>918000</v>
      </c>
      <c r="C35" s="102" t="s">
        <v>659</v>
      </c>
      <c r="D35" s="112" t="s">
        <v>654</v>
      </c>
      <c r="E35" s="99"/>
    </row>
    <row r="36" spans="1:5" ht="63.75" customHeight="1">
      <c r="A36" s="100" t="s">
        <v>599</v>
      </c>
      <c r="B36" s="101">
        <f>1109163664.89/1.1*0.3%</f>
        <v>3024991.81</v>
      </c>
      <c r="C36" s="102" t="s">
        <v>660</v>
      </c>
      <c r="D36" s="112" t="s">
        <v>661</v>
      </c>
      <c r="E36" s="99"/>
    </row>
    <row r="37" spans="1:5" ht="35.25" customHeight="1">
      <c r="A37" s="100" t="s">
        <v>601</v>
      </c>
      <c r="B37" s="101">
        <v>407766.99</v>
      </c>
      <c r="C37" s="102" t="s">
        <v>662</v>
      </c>
      <c r="D37" s="112" t="s">
        <v>654</v>
      </c>
      <c r="E37" s="99"/>
    </row>
    <row r="38" spans="1:5" ht="48.75" customHeight="1">
      <c r="A38" s="100" t="s">
        <v>603</v>
      </c>
      <c r="B38" s="101">
        <v>481644.96</v>
      </c>
      <c r="C38" s="102" t="s">
        <v>663</v>
      </c>
      <c r="D38" s="112" t="s">
        <v>654</v>
      </c>
      <c r="E38" s="118"/>
    </row>
    <row r="39" spans="1:5" ht="34.5" customHeight="1">
      <c r="A39" s="100" t="s">
        <v>605</v>
      </c>
      <c r="B39" s="101">
        <v>108000</v>
      </c>
      <c r="C39" s="102" t="s">
        <v>664</v>
      </c>
      <c r="D39" s="112" t="s">
        <v>665</v>
      </c>
      <c r="E39" s="99"/>
    </row>
    <row r="40" spans="1:5" ht="34.5" customHeight="1">
      <c r="A40" s="111" t="s">
        <v>666</v>
      </c>
      <c r="B40" s="101">
        <v>6759594</v>
      </c>
      <c r="C40" s="102" t="s">
        <v>667</v>
      </c>
      <c r="D40" s="112" t="s">
        <v>668</v>
      </c>
      <c r="E40" s="99"/>
    </row>
    <row r="41" spans="1:5" ht="35.25" customHeight="1">
      <c r="A41" s="100" t="s">
        <v>669</v>
      </c>
      <c r="B41" s="101">
        <v>240000</v>
      </c>
      <c r="C41" s="102" t="s">
        <v>610</v>
      </c>
      <c r="D41" s="112" t="s">
        <v>654</v>
      </c>
      <c r="E41" s="99"/>
    </row>
    <row r="42" spans="1:5" ht="35.25" customHeight="1">
      <c r="A42" s="100" t="s">
        <v>670</v>
      </c>
      <c r="B42" s="101">
        <v>1331995.6399999999</v>
      </c>
      <c r="C42" s="102" t="s">
        <v>671</v>
      </c>
      <c r="D42" s="112"/>
      <c r="E42" s="99"/>
    </row>
    <row r="43" spans="1:5" ht="30.75" customHeight="1">
      <c r="A43" s="119" t="s">
        <v>260</v>
      </c>
      <c r="B43" s="101"/>
      <c r="C43" s="120"/>
      <c r="D43" s="99"/>
      <c r="E43" s="99"/>
    </row>
    <row r="44" spans="1:5" ht="14.4">
      <c r="A44" s="463" t="s">
        <v>672</v>
      </c>
      <c r="B44" s="464"/>
      <c r="C44" s="463"/>
    </row>
  </sheetData>
  <protectedRanges>
    <protectedRange sqref="B36" name="区域1"/>
  </protectedRanges>
  <mergeCells count="7">
    <mergeCell ref="A1:E1"/>
    <mergeCell ref="A44:C44"/>
    <mergeCell ref="A3:A4"/>
    <mergeCell ref="B3:B4"/>
    <mergeCell ref="C3:C4"/>
    <mergeCell ref="D3:D4"/>
    <mergeCell ref="E3:E4"/>
  </mergeCells>
  <phoneticPr fontId="98" type="noConversion"/>
  <printOptions horizontalCentered="1"/>
  <pageMargins left="0.43263888888888902" right="0.31388888888888899" top="0.66805555555555596" bottom="0.31388888888888899" header="0.118055555555556" footer="3.8888888888888903E-2"/>
  <pageSetup paperSize="9" orientation="landscape" verticalDpi="300"/>
  <legacy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F41"/>
  <sheetViews>
    <sheetView topLeftCell="A22" workbookViewId="0">
      <selection activeCell="B12" sqref="B12"/>
    </sheetView>
  </sheetViews>
  <sheetFormatPr defaultColWidth="9.109375" defaultRowHeight="13.2"/>
  <cols>
    <col min="1" max="1" width="6" customWidth="1"/>
    <col min="2" max="2" width="17.33203125" customWidth="1"/>
    <col min="3" max="3" width="6" customWidth="1"/>
    <col min="4" max="4" width="25" customWidth="1"/>
    <col min="5" max="5" width="31.6640625" customWidth="1"/>
  </cols>
  <sheetData>
    <row r="1" spans="1:5" ht="28.5" customHeight="1">
      <c r="A1" s="471" t="s">
        <v>673</v>
      </c>
      <c r="B1" s="471"/>
      <c r="C1" s="471"/>
      <c r="D1" s="471"/>
      <c r="E1" s="471"/>
    </row>
    <row r="2" spans="1:5" ht="32.1" customHeight="1">
      <c r="A2" s="83" t="s">
        <v>4</v>
      </c>
      <c r="B2" s="83" t="s">
        <v>674</v>
      </c>
      <c r="C2" s="83" t="s">
        <v>464</v>
      </c>
      <c r="D2" s="84" t="s">
        <v>675</v>
      </c>
      <c r="E2" s="84" t="s">
        <v>676</v>
      </c>
    </row>
    <row r="3" spans="1:5" ht="32.1" customHeight="1">
      <c r="A3" s="83">
        <v>1</v>
      </c>
      <c r="B3" s="83" t="s">
        <v>677</v>
      </c>
      <c r="C3" s="85">
        <v>0.17</v>
      </c>
      <c r="D3" s="86">
        <v>270949800.74000001</v>
      </c>
      <c r="E3" s="86">
        <f>+D3/(1+C3)*C3</f>
        <v>39368774.469999999</v>
      </c>
    </row>
    <row r="4" spans="1:5" ht="32.1" customHeight="1">
      <c r="A4" s="83">
        <v>2</v>
      </c>
      <c r="B4" s="83" t="s">
        <v>397</v>
      </c>
      <c r="C4" s="85">
        <v>0.17</v>
      </c>
      <c r="D4" s="86">
        <v>141621627.49000001</v>
      </c>
      <c r="E4" s="86">
        <f t="shared" ref="E4:E22" si="0">+D4/(1+C4)*C4</f>
        <v>20577501.43</v>
      </c>
    </row>
    <row r="5" spans="1:5" ht="32.1" customHeight="1">
      <c r="A5" s="83">
        <v>3</v>
      </c>
      <c r="B5" s="83" t="s">
        <v>400</v>
      </c>
      <c r="C5" s="85">
        <v>0.06</v>
      </c>
      <c r="D5" s="86">
        <v>34320399.079999998</v>
      </c>
      <c r="E5" s="86">
        <f t="shared" si="0"/>
        <v>1942664.1</v>
      </c>
    </row>
    <row r="6" spans="1:5" ht="32.1" customHeight="1">
      <c r="A6" s="83">
        <v>4</v>
      </c>
      <c r="B6" s="83" t="s">
        <v>678</v>
      </c>
      <c r="C6" s="85">
        <v>0.17</v>
      </c>
      <c r="D6" s="86">
        <f>3196000+20090941.0739204</f>
        <v>23286941.07</v>
      </c>
      <c r="E6" s="86">
        <f t="shared" si="0"/>
        <v>3383572.63</v>
      </c>
    </row>
    <row r="7" spans="1:5" ht="32.1" customHeight="1">
      <c r="A7" s="83">
        <v>5</v>
      </c>
      <c r="B7" s="83" t="s">
        <v>399</v>
      </c>
      <c r="C7" s="85">
        <v>0.06</v>
      </c>
      <c r="D7" s="86">
        <f>29761545.3910559+1719423</f>
        <v>31480968.390000001</v>
      </c>
      <c r="E7" s="86">
        <f t="shared" si="0"/>
        <v>1781941.61</v>
      </c>
    </row>
    <row r="8" spans="1:5" ht="32.1" customHeight="1">
      <c r="A8" s="83">
        <v>6</v>
      </c>
      <c r="B8" s="83" t="s">
        <v>679</v>
      </c>
      <c r="C8" s="85">
        <v>0.06</v>
      </c>
      <c r="D8" s="86">
        <v>77457243.620000005</v>
      </c>
      <c r="E8" s="86">
        <f t="shared" si="0"/>
        <v>4384372.28</v>
      </c>
    </row>
    <row r="9" spans="1:5" ht="32.1" customHeight="1">
      <c r="A9" s="83">
        <v>7</v>
      </c>
      <c r="B9" s="83" t="s">
        <v>680</v>
      </c>
      <c r="C9" s="85">
        <v>0.17</v>
      </c>
      <c r="D9" s="86">
        <v>35243045.43</v>
      </c>
      <c r="E9" s="86">
        <f t="shared" si="0"/>
        <v>5120784.38</v>
      </c>
    </row>
    <row r="10" spans="1:5" ht="32.1" customHeight="1">
      <c r="A10" s="83">
        <v>8</v>
      </c>
      <c r="B10" s="83" t="s">
        <v>681</v>
      </c>
      <c r="C10" s="85">
        <v>0.17</v>
      </c>
      <c r="D10" s="86">
        <v>1525767.41</v>
      </c>
      <c r="E10" s="86">
        <f t="shared" si="0"/>
        <v>221692.7</v>
      </c>
    </row>
    <row r="11" spans="1:5" ht="32.1" customHeight="1">
      <c r="A11" s="83">
        <v>9</v>
      </c>
      <c r="B11" s="83" t="s">
        <v>682</v>
      </c>
      <c r="C11" s="85">
        <v>0.17</v>
      </c>
      <c r="D11" s="86">
        <v>3872092.49</v>
      </c>
      <c r="E11" s="86">
        <f t="shared" si="0"/>
        <v>562611.73</v>
      </c>
    </row>
    <row r="12" spans="1:5" ht="32.1" customHeight="1">
      <c r="A12" s="83">
        <v>10</v>
      </c>
      <c r="B12" s="83" t="s">
        <v>683</v>
      </c>
      <c r="C12" s="85">
        <v>0.17</v>
      </c>
      <c r="D12" s="86">
        <v>14391960</v>
      </c>
      <c r="E12" s="86">
        <f t="shared" si="0"/>
        <v>2091139.49</v>
      </c>
    </row>
    <row r="13" spans="1:5" ht="32.1" customHeight="1">
      <c r="A13" s="83">
        <v>11</v>
      </c>
      <c r="B13" s="83" t="s">
        <v>684</v>
      </c>
      <c r="C13" s="85">
        <v>0.11</v>
      </c>
      <c r="D13" s="86">
        <f>295838683.814135-D18-20090941.0739204-D17+53890284.1131966</f>
        <v>299530099.61000001</v>
      </c>
      <c r="E13" s="86">
        <f t="shared" si="0"/>
        <v>29683163.02</v>
      </c>
    </row>
    <row r="14" spans="1:5" ht="32.1" customHeight="1">
      <c r="A14" s="83">
        <v>12</v>
      </c>
      <c r="B14" s="83" t="s">
        <v>685</v>
      </c>
      <c r="C14" s="85">
        <v>0.11</v>
      </c>
      <c r="D14" s="86">
        <v>9870000</v>
      </c>
      <c r="E14" s="86">
        <f t="shared" si="0"/>
        <v>978108.11</v>
      </c>
    </row>
    <row r="15" spans="1:5" ht="32.1" customHeight="1">
      <c r="A15" s="83">
        <v>13</v>
      </c>
      <c r="B15" s="83" t="s">
        <v>686</v>
      </c>
      <c r="C15" s="85">
        <v>0.17</v>
      </c>
      <c r="D15" s="86">
        <v>20162116.34</v>
      </c>
      <c r="E15" s="86">
        <f t="shared" si="0"/>
        <v>2929538.27</v>
      </c>
    </row>
    <row r="16" spans="1:5" ht="32.1" customHeight="1">
      <c r="A16" s="83">
        <v>14</v>
      </c>
      <c r="B16" s="87" t="s">
        <v>687</v>
      </c>
      <c r="C16" s="85">
        <v>0.11</v>
      </c>
      <c r="D16" s="86">
        <f>50805311.2-4410000</f>
        <v>46395311.200000003</v>
      </c>
      <c r="E16" s="86">
        <f t="shared" si="0"/>
        <v>4597733.54</v>
      </c>
    </row>
    <row r="17" spans="1:6" ht="32.1" customHeight="1">
      <c r="A17" s="83">
        <v>15</v>
      </c>
      <c r="B17" s="83" t="s">
        <v>688</v>
      </c>
      <c r="C17" s="85">
        <v>0.17</v>
      </c>
      <c r="D17" s="86">
        <v>591184</v>
      </c>
      <c r="E17" s="86">
        <f t="shared" si="0"/>
        <v>85898.53</v>
      </c>
    </row>
    <row r="18" spans="1:6" ht="32.1" customHeight="1">
      <c r="A18" s="83">
        <v>16</v>
      </c>
      <c r="B18" s="83" t="s">
        <v>689</v>
      </c>
      <c r="C18" s="85">
        <v>0.17</v>
      </c>
      <c r="D18" s="86">
        <v>29516743.239999998</v>
      </c>
      <c r="E18" s="86">
        <f t="shared" si="0"/>
        <v>4288757.5599999996</v>
      </c>
    </row>
    <row r="19" spans="1:6" ht="32.1" customHeight="1">
      <c r="A19" s="83">
        <v>17</v>
      </c>
      <c r="B19" s="83" t="s">
        <v>622</v>
      </c>
      <c r="C19" s="85">
        <v>0.17</v>
      </c>
      <c r="D19" s="86">
        <f>17641851.794+250000</f>
        <v>17891851.789999999</v>
      </c>
      <c r="E19" s="86">
        <f t="shared" si="0"/>
        <v>2599670.77</v>
      </c>
    </row>
    <row r="20" spans="1:6" ht="32.1" customHeight="1">
      <c r="A20" s="83">
        <v>18</v>
      </c>
      <c r="B20" s="88" t="s">
        <v>624</v>
      </c>
      <c r="C20" s="85">
        <v>0.06</v>
      </c>
      <c r="D20" s="86">
        <v>186260.93</v>
      </c>
      <c r="E20" s="86">
        <f t="shared" si="0"/>
        <v>10543.07</v>
      </c>
    </row>
    <row r="21" spans="1:6" ht="32.1" customHeight="1">
      <c r="A21" s="83">
        <v>19</v>
      </c>
      <c r="B21" s="89" t="s">
        <v>690</v>
      </c>
      <c r="C21" s="85">
        <v>0.06</v>
      </c>
      <c r="D21" s="86">
        <v>2140175.13</v>
      </c>
      <c r="E21" s="86">
        <f t="shared" si="0"/>
        <v>121141.99</v>
      </c>
    </row>
    <row r="22" spans="1:6" ht="32.1" customHeight="1">
      <c r="A22" s="83">
        <v>20</v>
      </c>
      <c r="B22" s="83" t="s">
        <v>691</v>
      </c>
      <c r="C22" s="85">
        <v>0.11</v>
      </c>
      <c r="D22" s="86">
        <v>19200000</v>
      </c>
      <c r="E22" s="86">
        <f t="shared" si="0"/>
        <v>1902702.7</v>
      </c>
    </row>
    <row r="23" spans="1:6" ht="32.1" customHeight="1">
      <c r="A23" s="472" t="s">
        <v>692</v>
      </c>
      <c r="B23" s="472"/>
      <c r="C23" s="472"/>
      <c r="D23" s="86">
        <f>SUM(D3:D22)</f>
        <v>1079633587.96</v>
      </c>
      <c r="E23" s="86">
        <f>SUM(E3:E22)</f>
        <v>126632312.38</v>
      </c>
    </row>
    <row r="24" spans="1:6" ht="32.1" customHeight="1">
      <c r="A24" s="472" t="s">
        <v>693</v>
      </c>
      <c r="B24" s="472"/>
      <c r="C24" s="472"/>
      <c r="D24" s="86">
        <v>1260132271</v>
      </c>
      <c r="E24" s="86">
        <f>+D24/1.11*0.11</f>
        <v>124877972.8</v>
      </c>
    </row>
    <row r="25" spans="1:6" ht="32.1" customHeight="1">
      <c r="A25" s="472" t="s">
        <v>694</v>
      </c>
      <c r="B25" s="472"/>
      <c r="C25" s="472"/>
      <c r="D25" s="473">
        <f>+E24-E23</f>
        <v>-1754339.58</v>
      </c>
      <c r="E25" s="474"/>
    </row>
    <row r="28" spans="1:6">
      <c r="E28" s="90">
        <f>816519.456260554*66</f>
        <v>53890284.109999999</v>
      </c>
    </row>
    <row r="29" spans="1:6">
      <c r="D29" s="90">
        <f>D6+D12+D14+D22</f>
        <v>66748901.07</v>
      </c>
      <c r="E29" s="90">
        <v>53890284.109999999</v>
      </c>
    </row>
    <row r="30" spans="1:6">
      <c r="E30" s="90">
        <v>141621627.49000001</v>
      </c>
    </row>
    <row r="32" spans="1:6" ht="14.4">
      <c r="A32" s="91"/>
      <c r="B32" s="92"/>
      <c r="C32" s="92"/>
      <c r="D32" s="90">
        <v>295248187.44</v>
      </c>
      <c r="E32" s="90"/>
      <c r="F32" s="91"/>
    </row>
    <row r="33" spans="1:6" ht="14.4">
      <c r="A33" s="91"/>
      <c r="B33" s="92"/>
      <c r="C33" s="92"/>
      <c r="D33" s="90">
        <v>590496.37</v>
      </c>
      <c r="F33" s="91"/>
    </row>
    <row r="34" spans="1:6" ht="14.4">
      <c r="A34" s="91"/>
      <c r="B34" s="92"/>
      <c r="C34" s="92"/>
      <c r="D34" s="90">
        <f>SUM(D32:D33)</f>
        <v>295838683.81</v>
      </c>
      <c r="F34" s="91"/>
    </row>
    <row r="37" spans="1:6" ht="14.4">
      <c r="A37" s="91"/>
      <c r="B37" s="92"/>
      <c r="C37" s="92"/>
      <c r="D37" s="90">
        <v>1136492.68</v>
      </c>
      <c r="F37" s="91"/>
    </row>
    <row r="38" spans="1:6" ht="14.4">
      <c r="A38" s="91"/>
      <c r="B38" s="92"/>
      <c r="C38" s="92"/>
      <c r="D38" s="90">
        <v>38758563.07</v>
      </c>
      <c r="F38" s="91"/>
    </row>
    <row r="39" spans="1:6" ht="14.4">
      <c r="A39" s="91"/>
      <c r="B39" s="92"/>
      <c r="C39" s="92"/>
      <c r="D39" s="90">
        <v>610466173.00999999</v>
      </c>
      <c r="F39" s="91"/>
    </row>
    <row r="40" spans="1:6" ht="14.4">
      <c r="A40" s="91"/>
      <c r="B40" s="92"/>
      <c r="C40" s="92"/>
      <c r="D40" s="90">
        <f>SUM(D37:D39)</f>
        <v>650361228.75999999</v>
      </c>
      <c r="F40" s="91"/>
    </row>
    <row r="41" spans="1:6" ht="14.4">
      <c r="A41" s="91"/>
      <c r="B41" s="92"/>
      <c r="C41" s="92"/>
      <c r="D41" s="90">
        <f>D40-D3-D4-D5-D7-D8-D10-D11-E29</f>
        <v>35243045.43</v>
      </c>
      <c r="F41" s="91"/>
    </row>
  </sheetData>
  <mergeCells count="5">
    <mergeCell ref="A1:E1"/>
    <mergeCell ref="A23:C23"/>
    <mergeCell ref="A24:C24"/>
    <mergeCell ref="A25:C25"/>
    <mergeCell ref="D25:E25"/>
  </mergeCells>
  <phoneticPr fontId="98" type="noConversion"/>
  <pageMargins left="0.78888888888888897" right="0.69930555555555596" top="0.55000000000000004" bottom="0.34930555555555598" header="0.3" footer="0.3"/>
  <pageSetup paperSize="9" orientation="portrait" horizontalDpi="2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
  <sheetViews>
    <sheetView tabSelected="1" zoomScale="70" zoomScaleNormal="70" workbookViewId="0">
      <selection activeCell="D10" sqref="D10"/>
    </sheetView>
  </sheetViews>
  <sheetFormatPr defaultColWidth="9" defaultRowHeight="13.2"/>
  <cols>
    <col min="1" max="1" width="9" style="496"/>
    <col min="2" max="2" width="25.6640625" style="496" customWidth="1"/>
    <col min="3" max="3" width="35.21875" style="496" customWidth="1"/>
    <col min="4" max="7" width="25.77734375" style="496" customWidth="1"/>
    <col min="8" max="8" width="9" style="496"/>
    <col min="9" max="9" width="12.88671875" style="496"/>
    <col min="10" max="14" width="9" style="496"/>
    <col min="15" max="15" width="69.44140625" style="496" customWidth="1"/>
    <col min="16" max="16384" width="9" style="496"/>
  </cols>
  <sheetData>
    <row r="1" spans="1:16" s="495" customFormat="1" ht="55.8" customHeight="1">
      <c r="A1" s="499" t="s">
        <v>1538</v>
      </c>
      <c r="B1" s="499"/>
      <c r="C1" s="499"/>
      <c r="D1" s="499"/>
      <c r="E1" s="499"/>
      <c r="F1" s="499"/>
      <c r="G1" s="499"/>
      <c r="H1" s="315"/>
      <c r="I1" s="315"/>
      <c r="J1" s="315"/>
      <c r="K1" s="315"/>
      <c r="L1" s="315"/>
      <c r="M1" s="315"/>
      <c r="N1" s="315"/>
      <c r="O1" s="315"/>
      <c r="P1" s="286"/>
    </row>
    <row r="2" spans="1:16" s="495" customFormat="1" ht="19.8" customHeight="1" thickBot="1">
      <c r="A2" s="500" t="s">
        <v>1539</v>
      </c>
      <c r="B2" s="500"/>
      <c r="C2" s="500"/>
      <c r="D2" s="500"/>
      <c r="E2" s="501"/>
      <c r="F2" s="502"/>
      <c r="G2" s="503" t="s">
        <v>39</v>
      </c>
      <c r="H2" s="310"/>
      <c r="I2" s="310"/>
      <c r="J2" s="310"/>
      <c r="K2" s="306"/>
      <c r="L2" s="306"/>
      <c r="N2" s="291"/>
    </row>
    <row r="3" spans="1:16" ht="25.05" customHeight="1">
      <c r="A3" s="369" t="s">
        <v>4</v>
      </c>
      <c r="B3" s="371" t="s">
        <v>40</v>
      </c>
      <c r="C3" s="371" t="s">
        <v>41</v>
      </c>
      <c r="D3" s="371" t="s">
        <v>1532</v>
      </c>
      <c r="E3" s="371" t="s">
        <v>1533</v>
      </c>
      <c r="F3" s="371" t="s">
        <v>1534</v>
      </c>
      <c r="G3" s="373" t="s">
        <v>1535</v>
      </c>
    </row>
    <row r="4" spans="1:16" ht="25.05" customHeight="1">
      <c r="A4" s="370"/>
      <c r="B4" s="372"/>
      <c r="C4" s="372"/>
      <c r="D4" s="372"/>
      <c r="E4" s="372"/>
      <c r="F4" s="372"/>
      <c r="G4" s="374"/>
    </row>
    <row r="5" spans="1:16" ht="30" customHeight="1">
      <c r="A5" s="504">
        <v>1</v>
      </c>
      <c r="B5" s="505" t="s">
        <v>42</v>
      </c>
      <c r="C5" s="506" t="s">
        <v>43</v>
      </c>
      <c r="D5" s="507">
        <f>'工程量清单1-分界梁'!F83</f>
        <v>5597074</v>
      </c>
      <c r="E5" s="508">
        <f>SUM(D5:D15)</f>
        <v>17825149</v>
      </c>
      <c r="F5" s="507">
        <f>'工程量清单1-分界梁'!H83</f>
        <v>104264</v>
      </c>
      <c r="G5" s="509">
        <f>SUM(F5:F15)</f>
        <v>330193</v>
      </c>
      <c r="I5" s="497"/>
    </row>
    <row r="6" spans="1:16" ht="30" customHeight="1">
      <c r="A6" s="504">
        <v>2</v>
      </c>
      <c r="B6" s="508"/>
      <c r="C6" s="506" t="s">
        <v>44</v>
      </c>
      <c r="D6" s="507">
        <f>'工程量清单2-凤凰梁 '!F59</f>
        <v>329994</v>
      </c>
      <c r="E6" s="508"/>
      <c r="F6" s="507">
        <f>'工程量清单2-凤凰梁 '!H59</f>
        <v>6048</v>
      </c>
      <c r="G6" s="509"/>
      <c r="I6" s="497"/>
    </row>
    <row r="7" spans="1:16" ht="30" customHeight="1">
      <c r="A7" s="504">
        <v>3</v>
      </c>
      <c r="B7" s="508"/>
      <c r="C7" s="506" t="s">
        <v>45</v>
      </c>
      <c r="D7" s="507">
        <f>'工程量清单3-马垭口'!H73</f>
        <v>2511407</v>
      </c>
      <c r="E7" s="508"/>
      <c r="F7" s="507">
        <f>'工程量清单3-马垭口'!J73</f>
        <v>46729</v>
      </c>
      <c r="G7" s="509"/>
      <c r="I7" s="497"/>
    </row>
    <row r="8" spans="1:16" ht="30" customHeight="1">
      <c r="A8" s="504">
        <v>4</v>
      </c>
      <c r="B8" s="508"/>
      <c r="C8" s="506" t="s">
        <v>46</v>
      </c>
      <c r="D8" s="507">
        <f>'工程量清单4-红岩'!H82</f>
        <v>3553737</v>
      </c>
      <c r="E8" s="508"/>
      <c r="F8" s="507">
        <f>'工程量清单4-红岩'!J82</f>
        <v>66212</v>
      </c>
      <c r="G8" s="509"/>
      <c r="I8" s="497"/>
    </row>
    <row r="9" spans="1:16" ht="30" customHeight="1">
      <c r="A9" s="504">
        <v>5</v>
      </c>
      <c r="B9" s="508"/>
      <c r="C9" s="506" t="s">
        <v>47</v>
      </c>
      <c r="D9" s="507">
        <f>'工程量清单5-王家坪'!H78</f>
        <v>964465</v>
      </c>
      <c r="E9" s="508"/>
      <c r="F9" s="507">
        <f>'工程量清单5-王家坪'!J78</f>
        <v>17863</v>
      </c>
      <c r="G9" s="509"/>
      <c r="I9" s="497"/>
    </row>
    <row r="10" spans="1:16" ht="30" customHeight="1">
      <c r="A10" s="504">
        <v>6</v>
      </c>
      <c r="B10" s="508"/>
      <c r="C10" s="506" t="s">
        <v>48</v>
      </c>
      <c r="D10" s="507">
        <f>'工程量清单6-闵家'!H78</f>
        <v>1580608</v>
      </c>
      <c r="E10" s="508"/>
      <c r="F10" s="507">
        <f>'工程量清单6-闵家'!J78</f>
        <v>29338</v>
      </c>
      <c r="G10" s="509"/>
      <c r="I10" s="497"/>
    </row>
    <row r="11" spans="1:16" ht="30" customHeight="1">
      <c r="A11" s="504">
        <v>7</v>
      </c>
      <c r="B11" s="508"/>
      <c r="C11" s="506" t="s">
        <v>49</v>
      </c>
      <c r="D11" s="507">
        <f>'工程量清单7-营盘包'!H40</f>
        <v>306871</v>
      </c>
      <c r="E11" s="508"/>
      <c r="F11" s="507">
        <f>'工程量清单7-营盘包'!J40</f>
        <v>5522</v>
      </c>
      <c r="G11" s="509"/>
      <c r="I11" s="497"/>
    </row>
    <row r="12" spans="1:16" ht="30" customHeight="1">
      <c r="A12" s="504">
        <v>8</v>
      </c>
      <c r="B12" s="508"/>
      <c r="C12" s="506" t="s">
        <v>50</v>
      </c>
      <c r="D12" s="507">
        <f>'工程量清单8-孙家崖'!H82</f>
        <v>392944</v>
      </c>
      <c r="E12" s="508"/>
      <c r="F12" s="507">
        <f>'工程量清单8-孙家崖'!J82</f>
        <v>7191</v>
      </c>
      <c r="G12" s="509"/>
      <c r="I12" s="497"/>
    </row>
    <row r="13" spans="1:16" ht="30" customHeight="1">
      <c r="A13" s="504">
        <v>9</v>
      </c>
      <c r="B13" s="508"/>
      <c r="C13" s="506" t="s">
        <v>51</v>
      </c>
      <c r="D13" s="507">
        <f>'工程量清单9-奉云路'!H42</f>
        <v>1310235</v>
      </c>
      <c r="E13" s="508"/>
      <c r="F13" s="507">
        <f>'工程量清单9-奉云路'!J42</f>
        <v>24094</v>
      </c>
      <c r="G13" s="509"/>
      <c r="I13" s="497"/>
    </row>
    <row r="14" spans="1:16" ht="30" customHeight="1">
      <c r="A14" s="504">
        <v>10</v>
      </c>
      <c r="B14" s="508"/>
      <c r="C14" s="506" t="s">
        <v>52</v>
      </c>
      <c r="D14" s="507">
        <f>'工程量清单10-巫奉路'!H42</f>
        <v>543607</v>
      </c>
      <c r="E14" s="508"/>
      <c r="F14" s="507">
        <f>'工程量清单10-巫奉路'!J42</f>
        <v>9770</v>
      </c>
      <c r="G14" s="509"/>
      <c r="I14" s="497"/>
    </row>
    <row r="15" spans="1:16" ht="30" customHeight="1" thickBot="1">
      <c r="A15" s="510">
        <v>11</v>
      </c>
      <c r="B15" s="511"/>
      <c r="C15" s="512" t="s">
        <v>53</v>
      </c>
      <c r="D15" s="513">
        <f>'工程量清单11-奉溪路'!H42</f>
        <v>734207</v>
      </c>
      <c r="E15" s="511"/>
      <c r="F15" s="513">
        <f>'工程量清单11-奉溪路'!J42</f>
        <v>13162</v>
      </c>
      <c r="G15" s="514"/>
      <c r="I15" s="497"/>
    </row>
    <row r="16" spans="1:16">
      <c r="I16" s="497"/>
    </row>
    <row r="17" spans="3:3">
      <c r="C17" s="498"/>
    </row>
  </sheetData>
  <sheetProtection algorithmName="SHA-512" hashValue="d/V38HJhnjimGJ2RfXBWqGkwqNdXNfuG6T1vu92/zgHziN6k/PcGahKv2wNFV73JbRG0frDyFGzf0ekseKURXw==" saltValue="A7g8TTvfggK2O4C0u6BM2A==" spinCount="100000" sheet="1" objects="1" scenarios="1"/>
  <mergeCells count="12">
    <mergeCell ref="A1:G1"/>
    <mergeCell ref="A3:A4"/>
    <mergeCell ref="B3:B4"/>
    <mergeCell ref="B5:B15"/>
    <mergeCell ref="F3:F4"/>
    <mergeCell ref="G3:G4"/>
    <mergeCell ref="G5:G15"/>
    <mergeCell ref="A2:D2"/>
    <mergeCell ref="C3:C4"/>
    <mergeCell ref="D3:D4"/>
    <mergeCell ref="E3:E4"/>
    <mergeCell ref="E5:E15"/>
  </mergeCells>
  <phoneticPr fontId="98" type="noConversion"/>
  <conditionalFormatting sqref="Q1:IQ1 A1 N2 G2">
    <cfRule type="cellIs" dxfId="173" priority="3" operator="equal">
      <formula>0</formula>
    </cfRule>
  </conditionalFormatting>
  <conditionalFormatting sqref="A2 O2:IO2 E2:L2">
    <cfRule type="cellIs" dxfId="172" priority="2" operator="equal">
      <formula>0</formula>
    </cfRule>
  </conditionalFormatting>
  <pageMargins left="0.70866141732283505" right="0.70866141732283505" top="0.74803149606299202" bottom="0.74803149606299202" header="0.31496062992126" footer="0.31496062992126"/>
  <pageSetup paperSize="9" scale="77" fitToHeight="0" orientation="landscape" horizontalDpi="1200" verticalDpi="1200" r:id="rId1"/>
  <headerFooter>
    <oddFooter>&amp;C第 &amp;P 页，共 &amp;N 页</oddFooter>
  </headerFooter>
  <ignoredErrors>
    <ignoredError sqref="F5"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6"/>
  <sheetViews>
    <sheetView workbookViewId="0">
      <selection activeCell="J12" sqref="J12"/>
    </sheetView>
  </sheetViews>
  <sheetFormatPr defaultColWidth="9.109375" defaultRowHeight="14.4"/>
  <cols>
    <col min="1" max="1" width="6" style="74" customWidth="1"/>
    <col min="2" max="2" width="17.33203125" style="75" customWidth="1"/>
    <col min="3" max="3" width="6" style="75" customWidth="1"/>
    <col min="4" max="4" width="23.44140625" style="76" customWidth="1"/>
    <col min="5" max="5" width="31.6640625" style="76" customWidth="1"/>
    <col min="6" max="16384" width="9.109375" style="74"/>
  </cols>
  <sheetData>
    <row r="1" spans="1:5" ht="28.5" customHeight="1">
      <c r="A1" s="475" t="s">
        <v>695</v>
      </c>
      <c r="B1" s="475"/>
      <c r="C1" s="475"/>
      <c r="D1" s="475"/>
      <c r="E1" s="475"/>
    </row>
    <row r="2" spans="1:5" ht="27" customHeight="1">
      <c r="A2" s="77" t="s">
        <v>4</v>
      </c>
      <c r="B2" s="77" t="s">
        <v>674</v>
      </c>
      <c r="C2" s="77" t="s">
        <v>464</v>
      </c>
      <c r="D2" s="78" t="s">
        <v>675</v>
      </c>
      <c r="E2" s="78" t="s">
        <v>676</v>
      </c>
    </row>
    <row r="3" spans="1:5" ht="27" customHeight="1">
      <c r="A3" s="77">
        <v>1</v>
      </c>
      <c r="B3" s="77" t="s">
        <v>677</v>
      </c>
      <c r="C3" s="79">
        <v>0.17</v>
      </c>
      <c r="D3" s="78">
        <v>270949800.74000001</v>
      </c>
      <c r="E3" s="78">
        <f t="shared" ref="E3:E22" si="0">+D3/(1+C3)*C3</f>
        <v>39368774.469999999</v>
      </c>
    </row>
    <row r="4" spans="1:5" ht="27" customHeight="1">
      <c r="A4" s="77">
        <v>2</v>
      </c>
      <c r="B4" s="77" t="s">
        <v>397</v>
      </c>
      <c r="C4" s="79">
        <v>0.17</v>
      </c>
      <c r="D4" s="78">
        <v>141621627.49000001</v>
      </c>
      <c r="E4" s="78">
        <f t="shared" si="0"/>
        <v>20577501.43</v>
      </c>
    </row>
    <row r="5" spans="1:5" ht="27" customHeight="1">
      <c r="A5" s="77">
        <v>3</v>
      </c>
      <c r="B5" s="77" t="s">
        <v>400</v>
      </c>
      <c r="C5" s="79">
        <v>0.06</v>
      </c>
      <c r="D5" s="78">
        <v>34320399.079999998</v>
      </c>
      <c r="E5" s="78">
        <f t="shared" si="0"/>
        <v>1942664.1</v>
      </c>
    </row>
    <row r="6" spans="1:5" ht="27" customHeight="1">
      <c r="A6" s="77">
        <v>4</v>
      </c>
      <c r="B6" s="77" t="s">
        <v>678</v>
      </c>
      <c r="C6" s="79">
        <v>0.17</v>
      </c>
      <c r="D6" s="78">
        <f>3196000+20090941.0739204</f>
        <v>23286941.07</v>
      </c>
      <c r="E6" s="78">
        <f t="shared" si="0"/>
        <v>3383572.63</v>
      </c>
    </row>
    <row r="7" spans="1:5" ht="27" customHeight="1">
      <c r="A7" s="77">
        <v>5</v>
      </c>
      <c r="B7" s="77" t="s">
        <v>399</v>
      </c>
      <c r="C7" s="79">
        <v>0.06</v>
      </c>
      <c r="D7" s="78">
        <f>29761545.3910559+1719423</f>
        <v>31480968.390000001</v>
      </c>
      <c r="E7" s="78">
        <f t="shared" si="0"/>
        <v>1781941.61</v>
      </c>
    </row>
    <row r="8" spans="1:5" ht="27" customHeight="1">
      <c r="A8" s="77">
        <v>6</v>
      </c>
      <c r="B8" s="77" t="s">
        <v>679</v>
      </c>
      <c r="C8" s="79">
        <v>0.06</v>
      </c>
      <c r="D8" s="78">
        <v>77457243.620000005</v>
      </c>
      <c r="E8" s="78">
        <f t="shared" si="0"/>
        <v>4384372.28</v>
      </c>
    </row>
    <row r="9" spans="1:5" ht="27" customHeight="1">
      <c r="A9" s="77">
        <v>7</v>
      </c>
      <c r="B9" s="77" t="s">
        <v>680</v>
      </c>
      <c r="C9" s="79">
        <v>0.17</v>
      </c>
      <c r="D9" s="78">
        <v>35243045.43</v>
      </c>
      <c r="E9" s="78">
        <f t="shared" si="0"/>
        <v>5120784.38</v>
      </c>
    </row>
    <row r="10" spans="1:5" ht="27" customHeight="1">
      <c r="A10" s="77">
        <v>8</v>
      </c>
      <c r="B10" s="77" t="s">
        <v>681</v>
      </c>
      <c r="C10" s="79">
        <v>0.17</v>
      </c>
      <c r="D10" s="78">
        <v>1525767.41</v>
      </c>
      <c r="E10" s="78">
        <f t="shared" si="0"/>
        <v>221692.7</v>
      </c>
    </row>
    <row r="11" spans="1:5" ht="27" customHeight="1">
      <c r="A11" s="77">
        <v>9</v>
      </c>
      <c r="B11" s="77" t="s">
        <v>682</v>
      </c>
      <c r="C11" s="79">
        <v>0.17</v>
      </c>
      <c r="D11" s="78">
        <v>3872092.49</v>
      </c>
      <c r="E11" s="78">
        <f t="shared" si="0"/>
        <v>562611.73</v>
      </c>
    </row>
    <row r="12" spans="1:5" ht="27" customHeight="1">
      <c r="A12" s="77">
        <v>10</v>
      </c>
      <c r="B12" s="77" t="s">
        <v>683</v>
      </c>
      <c r="C12" s="79">
        <v>0.17</v>
      </c>
      <c r="D12" s="78">
        <v>14391960</v>
      </c>
      <c r="E12" s="78">
        <f t="shared" si="0"/>
        <v>2091139.49</v>
      </c>
    </row>
    <row r="13" spans="1:5" ht="27" customHeight="1">
      <c r="A13" s="77">
        <v>11</v>
      </c>
      <c r="B13" s="77" t="s">
        <v>684</v>
      </c>
      <c r="C13" s="79">
        <v>0.11</v>
      </c>
      <c r="D13" s="78">
        <f>295838683.814135-D18-20090941.0739204-D17+53890284.1131966</f>
        <v>299530099.61000001</v>
      </c>
      <c r="E13" s="78">
        <f t="shared" si="0"/>
        <v>29683163.02</v>
      </c>
    </row>
    <row r="14" spans="1:5" ht="27" customHeight="1">
      <c r="A14" s="77">
        <v>12</v>
      </c>
      <c r="B14" s="77" t="s">
        <v>685</v>
      </c>
      <c r="C14" s="79">
        <v>0.11</v>
      </c>
      <c r="D14" s="78">
        <v>9870000</v>
      </c>
      <c r="E14" s="78">
        <f t="shared" si="0"/>
        <v>978108.11</v>
      </c>
    </row>
    <row r="15" spans="1:5" ht="27" customHeight="1">
      <c r="A15" s="77">
        <v>13</v>
      </c>
      <c r="B15" s="77" t="s">
        <v>686</v>
      </c>
      <c r="C15" s="79">
        <v>0.17</v>
      </c>
      <c r="D15" s="78">
        <v>20162116.34</v>
      </c>
      <c r="E15" s="78">
        <f t="shared" si="0"/>
        <v>2929538.27</v>
      </c>
    </row>
    <row r="16" spans="1:5" ht="27" customHeight="1">
      <c r="A16" s="77">
        <v>14</v>
      </c>
      <c r="B16" s="80" t="s">
        <v>687</v>
      </c>
      <c r="C16" s="79">
        <v>0.11</v>
      </c>
      <c r="D16" s="78">
        <f>50805311.2-4410000</f>
        <v>46395311.200000003</v>
      </c>
      <c r="E16" s="78">
        <f t="shared" si="0"/>
        <v>4597733.54</v>
      </c>
    </row>
    <row r="17" spans="1:5" ht="27" customHeight="1">
      <c r="A17" s="77">
        <v>15</v>
      </c>
      <c r="B17" s="77" t="s">
        <v>688</v>
      </c>
      <c r="C17" s="79">
        <v>0.17</v>
      </c>
      <c r="D17" s="78">
        <v>591184</v>
      </c>
      <c r="E17" s="78">
        <f t="shared" si="0"/>
        <v>85898.53</v>
      </c>
    </row>
    <row r="18" spans="1:5" ht="27" customHeight="1">
      <c r="A18" s="77">
        <v>16</v>
      </c>
      <c r="B18" s="77" t="s">
        <v>689</v>
      </c>
      <c r="C18" s="79">
        <v>0.17</v>
      </c>
      <c r="D18" s="78">
        <v>29516743.239999998</v>
      </c>
      <c r="E18" s="78">
        <f t="shared" si="0"/>
        <v>4288757.5599999996</v>
      </c>
    </row>
    <row r="19" spans="1:5" ht="27" customHeight="1">
      <c r="A19" s="77">
        <v>17</v>
      </c>
      <c r="B19" s="77" t="s">
        <v>622</v>
      </c>
      <c r="C19" s="79">
        <v>0.17</v>
      </c>
      <c r="D19" s="78">
        <f>17641851.794+250000</f>
        <v>17891851.789999999</v>
      </c>
      <c r="E19" s="78">
        <f t="shared" si="0"/>
        <v>2599670.77</v>
      </c>
    </row>
    <row r="20" spans="1:5" ht="27" customHeight="1">
      <c r="A20" s="77">
        <v>18</v>
      </c>
      <c r="B20" s="81" t="s">
        <v>624</v>
      </c>
      <c r="C20" s="79">
        <v>0.06</v>
      </c>
      <c r="D20" s="82">
        <v>186260.93</v>
      </c>
      <c r="E20" s="78">
        <f t="shared" si="0"/>
        <v>10543.07</v>
      </c>
    </row>
    <row r="21" spans="1:5" ht="27" customHeight="1">
      <c r="A21" s="77">
        <v>19</v>
      </c>
      <c r="B21" s="81" t="s">
        <v>690</v>
      </c>
      <c r="C21" s="79">
        <v>0.06</v>
      </c>
      <c r="D21" s="82">
        <v>2140175.13</v>
      </c>
      <c r="E21" s="78">
        <f t="shared" si="0"/>
        <v>121141.99</v>
      </c>
    </row>
    <row r="22" spans="1:5" ht="27" customHeight="1">
      <c r="A22" s="77">
        <v>20</v>
      </c>
      <c r="B22" s="77" t="s">
        <v>691</v>
      </c>
      <c r="C22" s="79">
        <v>0.11</v>
      </c>
      <c r="D22" s="78">
        <v>19200000</v>
      </c>
      <c r="E22" s="78">
        <f t="shared" si="0"/>
        <v>1902702.7</v>
      </c>
    </row>
    <row r="23" spans="1:5" ht="27" customHeight="1">
      <c r="A23" s="476" t="s">
        <v>692</v>
      </c>
      <c r="B23" s="476"/>
      <c r="C23" s="476"/>
      <c r="D23" s="78">
        <f>SUM(D3:D22)</f>
        <v>1079633587.96</v>
      </c>
      <c r="E23" s="78">
        <f>SUM(E3:E22)</f>
        <v>126632312.38</v>
      </c>
    </row>
    <row r="24" spans="1:5" ht="27" customHeight="1">
      <c r="A24" s="476" t="s">
        <v>693</v>
      </c>
      <c r="B24" s="476"/>
      <c r="C24" s="476"/>
      <c r="D24" s="78">
        <v>1260132271</v>
      </c>
      <c r="E24" s="78">
        <f>+D24/1.11*0.11</f>
        <v>124877972.8</v>
      </c>
    </row>
    <row r="25" spans="1:5" ht="27" customHeight="1">
      <c r="A25" s="476" t="s">
        <v>694</v>
      </c>
      <c r="B25" s="476"/>
      <c r="C25" s="476"/>
      <c r="D25" s="477">
        <f>+E24-E23</f>
        <v>-1754339.58</v>
      </c>
      <c r="E25" s="478"/>
    </row>
    <row r="33" spans="4:5">
      <c r="E33" s="76">
        <f>816519.456260554*66</f>
        <v>53890284.109999999</v>
      </c>
    </row>
    <row r="34" spans="4:5">
      <c r="D34" s="76">
        <f>D6+D12+D14+D22</f>
        <v>66748901.07</v>
      </c>
      <c r="E34" s="76">
        <v>53890284.109999999</v>
      </c>
    </row>
    <row r="35" spans="4:5">
      <c r="E35" s="76">
        <v>141621627.49000001</v>
      </c>
    </row>
    <row r="37" spans="4:5">
      <c r="D37" s="76">
        <v>295248187.44</v>
      </c>
    </row>
    <row r="38" spans="4:5">
      <c r="D38" s="76">
        <v>590496.37</v>
      </c>
    </row>
    <row r="39" spans="4:5">
      <c r="D39" s="76">
        <f>SUM(D37:D38)</f>
        <v>295838683.81</v>
      </c>
    </row>
    <row r="42" spans="4:5">
      <c r="D42" s="76">
        <v>1136492.68</v>
      </c>
    </row>
    <row r="43" spans="4:5">
      <c r="D43" s="76">
        <v>38758563.07</v>
      </c>
    </row>
    <row r="44" spans="4:5">
      <c r="D44" s="76">
        <v>610466173.00999999</v>
      </c>
    </row>
    <row r="45" spans="4:5">
      <c r="D45" s="76">
        <f>SUM(D42:D44)</f>
        <v>650361228.75999999</v>
      </c>
    </row>
    <row r="46" spans="4:5">
      <c r="D46" s="76">
        <f>D45-D3-D4-D5-D7-D8-D10-D11-E34</f>
        <v>35243045.43</v>
      </c>
    </row>
  </sheetData>
  <mergeCells count="5">
    <mergeCell ref="A1:E1"/>
    <mergeCell ref="A23:C23"/>
    <mergeCell ref="A24:C24"/>
    <mergeCell ref="A25:C25"/>
    <mergeCell ref="D25:E25"/>
  </mergeCells>
  <phoneticPr fontId="98" type="noConversion"/>
  <pageMargins left="0.75" right="0.75" top="1" bottom="1" header="0.50902777777777797" footer="0.50902777777777797"/>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L26"/>
  <sheetViews>
    <sheetView workbookViewId="0">
      <selection activeCell="D2" sqref="A1:L1048576"/>
    </sheetView>
  </sheetViews>
  <sheetFormatPr defaultColWidth="9" defaultRowHeight="13.2"/>
  <cols>
    <col min="3" max="3" width="34.109375" customWidth="1"/>
    <col min="4" max="4" width="16.44140625" customWidth="1"/>
    <col min="5" max="5" width="15.33203125" customWidth="1"/>
    <col min="6" max="6" width="11.109375" customWidth="1"/>
    <col min="7" max="7" width="16.44140625" customWidth="1"/>
    <col min="9" max="10" width="15.33203125" customWidth="1"/>
    <col min="12" max="12" width="15.44140625" customWidth="1"/>
  </cols>
  <sheetData>
    <row r="1" spans="1:12" ht="20.399999999999999">
      <c r="A1" s="483" t="s">
        <v>696</v>
      </c>
      <c r="B1" s="483"/>
      <c r="C1" s="483"/>
      <c r="D1" s="483"/>
      <c r="E1" s="483"/>
      <c r="F1" s="483"/>
      <c r="G1" s="483"/>
      <c r="H1" s="483"/>
      <c r="I1" s="483"/>
      <c r="J1" s="483"/>
      <c r="K1" s="483"/>
      <c r="L1" s="483"/>
    </row>
    <row r="2" spans="1:12">
      <c r="A2" s="65"/>
      <c r="B2" s="65"/>
      <c r="C2" s="65"/>
      <c r="D2" s="65"/>
      <c r="E2" s="65"/>
      <c r="F2" s="65"/>
      <c r="G2" s="65"/>
      <c r="H2" s="65"/>
      <c r="I2" s="65"/>
      <c r="J2" s="65"/>
      <c r="K2" s="65"/>
      <c r="L2" s="71" t="s">
        <v>697</v>
      </c>
    </row>
    <row r="3" spans="1:12">
      <c r="A3" s="66" t="s">
        <v>4</v>
      </c>
      <c r="B3" s="479" t="s">
        <v>698</v>
      </c>
      <c r="C3" s="479"/>
      <c r="D3" s="66" t="s">
        <v>699</v>
      </c>
      <c r="E3" s="66" t="s">
        <v>700</v>
      </c>
      <c r="F3" s="66" t="s">
        <v>701</v>
      </c>
      <c r="G3" s="66" t="s">
        <v>702</v>
      </c>
      <c r="H3" s="66" t="s">
        <v>703</v>
      </c>
      <c r="I3" s="66" t="s">
        <v>704</v>
      </c>
      <c r="J3" s="66" t="s">
        <v>705</v>
      </c>
      <c r="K3" s="66" t="s">
        <v>706</v>
      </c>
      <c r="L3" s="66" t="s">
        <v>12</v>
      </c>
    </row>
    <row r="4" spans="1:12">
      <c r="A4" s="66">
        <v>1</v>
      </c>
      <c r="B4" s="479" t="s">
        <v>707</v>
      </c>
      <c r="C4" s="479"/>
      <c r="D4" s="67">
        <f>[59]汇总表!D18</f>
        <v>1109163665</v>
      </c>
      <c r="E4" s="67">
        <f>D4/1.11</f>
        <v>999246545</v>
      </c>
      <c r="F4" s="68">
        <v>0.11</v>
      </c>
      <c r="G4" s="69">
        <f>D4-E4</f>
        <v>109917120</v>
      </c>
      <c r="H4" s="69"/>
      <c r="I4" s="69"/>
      <c r="J4" s="69"/>
      <c r="K4" s="69"/>
      <c r="L4" s="66"/>
    </row>
    <row r="5" spans="1:12">
      <c r="A5" s="66">
        <v>2</v>
      </c>
      <c r="B5" s="480" t="s">
        <v>708</v>
      </c>
      <c r="C5" s="66" t="s">
        <v>709</v>
      </c>
      <c r="D5" s="67">
        <f>[59]配合比!G50+[59]配合比!G51+[59]配合比!G52+[59]配合比!G55+SUM('[59]路基、桥梁（材料费）'!N28:N49)+SUM('[59]路基、桥梁（材料费）'!N21:N25)+SUM('[59]路基、桥梁（材料费）'!N9:N10)+'[59]隧道（材料费）'!L39</f>
        <v>292435432</v>
      </c>
      <c r="E5" s="67">
        <f>D5/(1+H5)</f>
        <v>249944814</v>
      </c>
      <c r="F5" s="69"/>
      <c r="G5" s="69"/>
      <c r="H5" s="68">
        <v>0.17</v>
      </c>
      <c r="I5" s="67">
        <f>D5-E5</f>
        <v>42490618</v>
      </c>
      <c r="J5" s="72"/>
      <c r="K5" s="69"/>
      <c r="L5" s="479"/>
    </row>
    <row r="6" spans="1:12">
      <c r="A6" s="66">
        <v>3</v>
      </c>
      <c r="B6" s="481"/>
      <c r="C6" s="66" t="s">
        <v>710</v>
      </c>
      <c r="D6" s="67">
        <f>[59]配合比!G53+[59]配合比!G54+'[59]隧道（材料费）'!L28</f>
        <v>87475015</v>
      </c>
      <c r="E6" s="67">
        <f t="shared" ref="E6:E21" si="0">D6/(1+H6)</f>
        <v>84927199</v>
      </c>
      <c r="F6" s="69"/>
      <c r="G6" s="69"/>
      <c r="H6" s="68">
        <v>0.03</v>
      </c>
      <c r="I6" s="67">
        <f t="shared" ref="I6:I21" si="1">D6-E6</f>
        <v>2547816</v>
      </c>
      <c r="J6" s="72"/>
      <c r="K6" s="69"/>
      <c r="L6" s="479"/>
    </row>
    <row r="7" spans="1:12">
      <c r="A7" s="66">
        <v>4</v>
      </c>
      <c r="B7" s="481"/>
      <c r="C7" s="66" t="s">
        <v>18</v>
      </c>
      <c r="D7" s="67">
        <f>[59]汇总表!E6</f>
        <v>270223389</v>
      </c>
      <c r="E7" s="67">
        <f t="shared" si="0"/>
        <v>243444495</v>
      </c>
      <c r="F7" s="69"/>
      <c r="G7" s="69"/>
      <c r="H7" s="68">
        <v>0.11</v>
      </c>
      <c r="I7" s="67">
        <f t="shared" si="1"/>
        <v>26778894</v>
      </c>
      <c r="J7" s="72"/>
      <c r="K7" s="69"/>
      <c r="L7" s="66"/>
    </row>
    <row r="8" spans="1:12">
      <c r="A8" s="66">
        <v>5</v>
      </c>
      <c r="B8" s="481"/>
      <c r="C8" s="66" t="s">
        <v>711</v>
      </c>
      <c r="D8" s="67">
        <f>[59]机械设备费!L5+[59]机械设备费!L6+[59]机械设备费!L7+[59]机械设备费!L8+[59]机械设备费!L9+[59]机械设备费!L10</f>
        <v>5862000</v>
      </c>
      <c r="E8" s="67">
        <f t="shared" si="0"/>
        <v>5691262</v>
      </c>
      <c r="F8" s="69"/>
      <c r="G8" s="69"/>
      <c r="H8" s="68">
        <v>0.03</v>
      </c>
      <c r="I8" s="67">
        <f t="shared" si="1"/>
        <v>170738</v>
      </c>
      <c r="J8" s="72"/>
      <c r="K8" s="69"/>
      <c r="L8" s="70"/>
    </row>
    <row r="9" spans="1:12">
      <c r="A9" s="66">
        <v>6</v>
      </c>
      <c r="B9" s="481"/>
      <c r="C9" s="66" t="s">
        <v>712</v>
      </c>
      <c r="D9" s="67">
        <f>[59]临时设施费!H5+[59]临时设施费!H6+[59]临时设施费!H7+[59]临时设施费!H8+[59]临时设施费!H9+[59]临时设施费!H13+[59]临时设施费!H14</f>
        <v>28165222</v>
      </c>
      <c r="E9" s="67">
        <f t="shared" si="0"/>
        <v>25374074</v>
      </c>
      <c r="F9" s="69"/>
      <c r="G9" s="69"/>
      <c r="H9" s="68">
        <v>0.11</v>
      </c>
      <c r="I9" s="67">
        <f t="shared" si="1"/>
        <v>2791148</v>
      </c>
      <c r="J9" s="72"/>
      <c r="K9" s="69"/>
      <c r="L9" s="70"/>
    </row>
    <row r="10" spans="1:12">
      <c r="A10" s="66">
        <v>7</v>
      </c>
      <c r="B10" s="481"/>
      <c r="C10" s="66" t="s">
        <v>713</v>
      </c>
      <c r="D10" s="67">
        <f>([59]其他直接费!H8+[59]其他直接费!H10+[59]其他直接费!H11+[59]其他直接费!H12+[59]其他直接费!H9)</f>
        <v>14467626</v>
      </c>
      <c r="E10" s="67">
        <f t="shared" si="0"/>
        <v>13648704</v>
      </c>
      <c r="F10" s="69"/>
      <c r="G10" s="69"/>
      <c r="H10" s="68">
        <v>0.06</v>
      </c>
      <c r="I10" s="67">
        <f t="shared" si="1"/>
        <v>818922</v>
      </c>
      <c r="J10" s="72"/>
      <c r="K10" s="69"/>
      <c r="L10" s="66"/>
    </row>
    <row r="11" spans="1:12" ht="36">
      <c r="A11" s="66">
        <v>8</v>
      </c>
      <c r="B11" s="481"/>
      <c r="C11" s="66" t="s">
        <v>714</v>
      </c>
      <c r="D11" s="67">
        <f>[59]其他直接费!H5+[59]其他直接费!H6+[59]其他直接费!H7</f>
        <v>20162116</v>
      </c>
      <c r="E11" s="67">
        <f>D11*60%/1.17+D11*40%/1.03</f>
        <v>18169495</v>
      </c>
      <c r="F11" s="69"/>
      <c r="G11" s="69"/>
      <c r="H11" s="68" t="s">
        <v>715</v>
      </c>
      <c r="I11" s="67">
        <f t="shared" si="1"/>
        <v>1992621</v>
      </c>
      <c r="J11" s="72"/>
      <c r="K11" s="69"/>
      <c r="L11" s="70" t="s">
        <v>716</v>
      </c>
    </row>
    <row r="12" spans="1:12">
      <c r="A12" s="66">
        <v>9</v>
      </c>
      <c r="B12" s="481"/>
      <c r="C12" s="70" t="s">
        <v>717</v>
      </c>
      <c r="D12" s="67">
        <f>[59]临时设施费!H10+[59]临时设施费!H11+[59]临时设施费!H12</f>
        <v>360000</v>
      </c>
      <c r="E12" s="67">
        <f t="shared" si="0"/>
        <v>339623</v>
      </c>
      <c r="F12" s="69"/>
      <c r="G12" s="69"/>
      <c r="H12" s="68">
        <v>0.06</v>
      </c>
      <c r="I12" s="67">
        <f t="shared" si="1"/>
        <v>20377</v>
      </c>
      <c r="J12" s="72"/>
      <c r="K12" s="69"/>
      <c r="L12" s="66"/>
    </row>
    <row r="13" spans="1:12">
      <c r="A13" s="66">
        <v>10</v>
      </c>
      <c r="B13" s="481"/>
      <c r="C13" s="66" t="s">
        <v>718</v>
      </c>
      <c r="D13" s="67">
        <f>[59]机械设备费!L26+[59]机械设备费!L27+[59]机械设备费!L28+[59]机械设备费!L29+[59]机械设备费!L30</f>
        <v>591360</v>
      </c>
      <c r="E13" s="67">
        <f t="shared" si="0"/>
        <v>505436</v>
      </c>
      <c r="F13" s="69"/>
      <c r="G13" s="69"/>
      <c r="H13" s="68">
        <v>0.17</v>
      </c>
      <c r="I13" s="67">
        <f t="shared" si="1"/>
        <v>85924</v>
      </c>
      <c r="J13" s="72"/>
      <c r="K13" s="69"/>
      <c r="L13" s="66"/>
    </row>
    <row r="14" spans="1:12">
      <c r="A14" s="66">
        <v>11</v>
      </c>
      <c r="B14" s="481"/>
      <c r="C14" s="66" t="s">
        <v>719</v>
      </c>
      <c r="D14" s="67">
        <f>[59]机械设备费!L31</f>
        <v>18240000</v>
      </c>
      <c r="E14" s="67">
        <f t="shared" si="0"/>
        <v>15589744</v>
      </c>
      <c r="F14" s="69"/>
      <c r="G14" s="69"/>
      <c r="H14" s="68">
        <v>0.17</v>
      </c>
      <c r="I14" s="67">
        <f t="shared" si="1"/>
        <v>2650256</v>
      </c>
      <c r="J14" s="72"/>
      <c r="K14" s="69"/>
      <c r="L14" s="66"/>
    </row>
    <row r="15" spans="1:12">
      <c r="A15" s="66">
        <v>12</v>
      </c>
      <c r="B15" s="481"/>
      <c r="C15" s="66" t="s">
        <v>720</v>
      </c>
      <c r="D15" s="67">
        <f>[59]临时设施费!H17+[59]临时设施费!H18</f>
        <v>21848594</v>
      </c>
      <c r="E15" s="67">
        <f t="shared" si="0"/>
        <v>19683418</v>
      </c>
      <c r="F15" s="69"/>
      <c r="G15" s="69"/>
      <c r="H15" s="68">
        <v>0.11</v>
      </c>
      <c r="I15" s="67">
        <f t="shared" si="1"/>
        <v>2165176</v>
      </c>
      <c r="J15" s="72"/>
      <c r="K15" s="69"/>
      <c r="L15" s="66"/>
    </row>
    <row r="16" spans="1:12" ht="24">
      <c r="A16" s="66">
        <v>13</v>
      </c>
      <c r="B16" s="481"/>
      <c r="C16" s="70" t="s">
        <v>721</v>
      </c>
      <c r="D16" s="67">
        <f>[59]其他直接费!H13</f>
        <v>3780397</v>
      </c>
      <c r="E16" s="67">
        <f t="shared" si="0"/>
        <v>3566412</v>
      </c>
      <c r="F16" s="69"/>
      <c r="G16" s="69"/>
      <c r="H16" s="68">
        <v>0.06</v>
      </c>
      <c r="I16" s="67">
        <f t="shared" si="1"/>
        <v>213985</v>
      </c>
      <c r="J16" s="72"/>
      <c r="K16" s="69"/>
      <c r="L16" s="66"/>
    </row>
    <row r="17" spans="1:12">
      <c r="A17" s="66">
        <v>14</v>
      </c>
      <c r="B17" s="481"/>
      <c r="C17" s="70" t="s">
        <v>722</v>
      </c>
      <c r="D17" s="67">
        <f>[59]其他直接费!H14</f>
        <v>4192000</v>
      </c>
      <c r="E17" s="67">
        <f t="shared" si="0"/>
        <v>3776577</v>
      </c>
      <c r="F17" s="69"/>
      <c r="G17" s="69"/>
      <c r="H17" s="68">
        <v>0.11</v>
      </c>
      <c r="I17" s="67">
        <f t="shared" si="1"/>
        <v>415423</v>
      </c>
      <c r="J17" s="72"/>
      <c r="K17" s="69"/>
      <c r="L17" s="70"/>
    </row>
    <row r="18" spans="1:12">
      <c r="A18" s="66">
        <v>15</v>
      </c>
      <c r="B18" s="481"/>
      <c r="C18" s="66" t="s">
        <v>683</v>
      </c>
      <c r="D18" s="67">
        <f>[59]机械设备费!L11+[59]机械设备费!L12+[59]机械设备费!L13+[59]机械设备费!L14+[59]机械设备费!L15+[59]机械设备费!L16+[59]机械设备费!L17+[59]机械设备费!L18+[59]机械设备费!L19+[59]机械设备费!L20+[59]机械设备费!L21+[59]机械设备费!L22+[59]机械设备费!L23+[59]机械设备费!L24+[59]机械设备费!L25</f>
        <v>9653460</v>
      </c>
      <c r="E18" s="67">
        <f t="shared" si="0"/>
        <v>8250821</v>
      </c>
      <c r="F18" s="69"/>
      <c r="G18" s="69"/>
      <c r="H18" s="68">
        <v>0.17</v>
      </c>
      <c r="I18" s="67">
        <f t="shared" si="1"/>
        <v>1402639</v>
      </c>
      <c r="J18" s="72"/>
      <c r="K18" s="69"/>
      <c r="L18" s="66"/>
    </row>
    <row r="19" spans="1:12">
      <c r="A19" s="66">
        <v>16</v>
      </c>
      <c r="B19" s="481"/>
      <c r="C19" s="70" t="s">
        <v>723</v>
      </c>
      <c r="D19" s="67">
        <f>[59]临时设施费!H15</f>
        <v>10011685</v>
      </c>
      <c r="E19" s="67">
        <f t="shared" si="0"/>
        <v>9720083</v>
      </c>
      <c r="F19" s="69"/>
      <c r="G19" s="69"/>
      <c r="H19" s="68">
        <v>0.03</v>
      </c>
      <c r="I19" s="67">
        <f t="shared" si="1"/>
        <v>291602</v>
      </c>
      <c r="J19" s="72"/>
      <c r="K19" s="69"/>
      <c r="L19" s="66"/>
    </row>
    <row r="20" spans="1:12" ht="36">
      <c r="A20" s="66">
        <v>17</v>
      </c>
      <c r="B20" s="481"/>
      <c r="C20" s="70" t="s">
        <v>724</v>
      </c>
      <c r="D20" s="67">
        <f>[59]砼拌和运输费用!D13</f>
        <v>15680633</v>
      </c>
      <c r="E20" s="67">
        <f>11983315/1.11+3325400/1.17</f>
        <v>13638002</v>
      </c>
      <c r="F20" s="69"/>
      <c r="G20" s="69"/>
      <c r="H20" s="68" t="s">
        <v>715</v>
      </c>
      <c r="I20" s="67">
        <f t="shared" si="1"/>
        <v>2042631</v>
      </c>
      <c r="J20" s="72"/>
      <c r="K20" s="69"/>
      <c r="L20" s="70" t="s">
        <v>725</v>
      </c>
    </row>
    <row r="21" spans="1:12" ht="84">
      <c r="A21" s="66">
        <v>18</v>
      </c>
      <c r="B21" s="482"/>
      <c r="C21" s="70" t="s">
        <v>726</v>
      </c>
      <c r="D21" s="67">
        <f>SUM([59]间接费!C22:C41)+SUM([59]间接费!C22:C28)+SUM([59]间接费!C30:C41)</f>
        <v>34363080</v>
      </c>
      <c r="E21" s="67">
        <f t="shared" si="0"/>
        <v>29370154</v>
      </c>
      <c r="F21" s="69"/>
      <c r="G21" s="69"/>
      <c r="H21" s="68">
        <v>0.17</v>
      </c>
      <c r="I21" s="67">
        <f t="shared" si="1"/>
        <v>4992926</v>
      </c>
      <c r="J21" s="72"/>
      <c r="K21" s="69"/>
      <c r="L21" s="70" t="s">
        <v>727</v>
      </c>
    </row>
    <row r="22" spans="1:12">
      <c r="A22" s="66">
        <v>19</v>
      </c>
      <c r="B22" s="479" t="s">
        <v>728</v>
      </c>
      <c r="C22" s="479"/>
      <c r="D22" s="69"/>
      <c r="E22" s="69"/>
      <c r="F22" s="69"/>
      <c r="G22" s="69">
        <f>G4</f>
        <v>109917120</v>
      </c>
      <c r="H22" s="69"/>
      <c r="I22" s="72"/>
      <c r="J22" s="72"/>
      <c r="K22" s="69"/>
      <c r="L22" s="66"/>
    </row>
    <row r="23" spans="1:12">
      <c r="A23" s="66">
        <v>20</v>
      </c>
      <c r="B23" s="479" t="s">
        <v>729</v>
      </c>
      <c r="C23" s="479"/>
      <c r="D23" s="69"/>
      <c r="E23" s="69"/>
      <c r="F23" s="69"/>
      <c r="G23" s="69"/>
      <c r="H23" s="69"/>
      <c r="I23" s="72">
        <f>SUM(I5:I22)</f>
        <v>91871696</v>
      </c>
      <c r="J23" s="72"/>
      <c r="K23" s="69"/>
      <c r="L23" s="66"/>
    </row>
    <row r="24" spans="1:12">
      <c r="A24" s="66">
        <v>21</v>
      </c>
      <c r="B24" s="479" t="s">
        <v>705</v>
      </c>
      <c r="C24" s="479"/>
      <c r="D24" s="69"/>
      <c r="E24" s="69"/>
      <c r="F24" s="69"/>
      <c r="G24" s="69"/>
      <c r="H24" s="69"/>
      <c r="I24" s="72"/>
      <c r="J24" s="72">
        <f>G22-I23</f>
        <v>18045424</v>
      </c>
      <c r="K24" s="73">
        <f>J24/D4</f>
        <v>1.6299999999999999E-2</v>
      </c>
      <c r="L24" s="66"/>
    </row>
    <row r="26" spans="1:12">
      <c r="J26">
        <f>J24*1.1</f>
        <v>19849966.399999999</v>
      </c>
    </row>
  </sheetData>
  <mergeCells count="8">
    <mergeCell ref="B24:C24"/>
    <mergeCell ref="B5:B21"/>
    <mergeCell ref="L5:L6"/>
    <mergeCell ref="A1:L1"/>
    <mergeCell ref="B3:C3"/>
    <mergeCell ref="B4:C4"/>
    <mergeCell ref="B22:C22"/>
    <mergeCell ref="B23:C23"/>
  </mergeCells>
  <phoneticPr fontId="98" type="noConversion"/>
  <pageMargins left="0.69930555555555596" right="0.69930555555555596"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140"/>
  <sheetViews>
    <sheetView showZeros="0" view="pageBreakPreview" topLeftCell="A40" zoomScaleNormal="100" workbookViewId="0">
      <selection activeCell="F138" sqref="F138"/>
    </sheetView>
  </sheetViews>
  <sheetFormatPr defaultColWidth="9.109375" defaultRowHeight="13.2"/>
  <cols>
    <col min="1" max="1" width="10.6640625" customWidth="1"/>
    <col min="2" max="2" width="32.44140625" customWidth="1"/>
    <col min="3" max="3" width="7.5546875" customWidth="1"/>
    <col min="4" max="4" width="12.5546875" customWidth="1"/>
    <col min="5" max="5" width="10.6640625" customWidth="1"/>
    <col min="6" max="6" width="14.6640625" customWidth="1"/>
  </cols>
  <sheetData>
    <row r="1" spans="1:11" ht="30" customHeight="1">
      <c r="A1" s="484" t="s">
        <v>730</v>
      </c>
      <c r="B1" s="484"/>
      <c r="C1" s="484"/>
      <c r="D1" s="484"/>
      <c r="E1" s="484"/>
      <c r="F1" s="485"/>
    </row>
    <row r="2" spans="1:11" ht="20.100000000000001" customHeight="1">
      <c r="A2" s="32" t="s">
        <v>731</v>
      </c>
      <c r="B2" s="33"/>
      <c r="D2" s="34"/>
      <c r="E2" s="34"/>
      <c r="F2" s="58"/>
    </row>
    <row r="3" spans="1:11" ht="20.100000000000001" customHeight="1">
      <c r="A3" s="36" t="s">
        <v>732</v>
      </c>
      <c r="B3" s="36"/>
      <c r="C3" s="36"/>
      <c r="D3" s="36"/>
      <c r="E3" s="36"/>
      <c r="F3" s="37" t="s">
        <v>2</v>
      </c>
    </row>
    <row r="4" spans="1:11" ht="20.100000000000001" customHeight="1">
      <c r="A4" s="38" t="s">
        <v>56</v>
      </c>
      <c r="B4" s="39" t="s">
        <v>57</v>
      </c>
      <c r="C4" s="38" t="s">
        <v>58</v>
      </c>
      <c r="D4" s="38" t="s">
        <v>59</v>
      </c>
      <c r="E4" s="40" t="s">
        <v>456</v>
      </c>
      <c r="F4" s="41" t="s">
        <v>616</v>
      </c>
      <c r="I4" s="22"/>
      <c r="K4" s="22"/>
    </row>
    <row r="5" spans="1:11" ht="19.5" customHeight="1">
      <c r="A5" s="42" t="s">
        <v>733</v>
      </c>
      <c r="B5" s="11" t="s">
        <v>734</v>
      </c>
      <c r="C5" s="43" t="s">
        <v>735</v>
      </c>
      <c r="D5" s="43"/>
      <c r="E5" s="48"/>
      <c r="F5" s="46"/>
    </row>
    <row r="6" spans="1:11" ht="32.25" customHeight="1">
      <c r="A6" s="45" t="s">
        <v>736</v>
      </c>
      <c r="B6" s="16" t="s">
        <v>737</v>
      </c>
      <c r="C6" s="43" t="s">
        <v>113</v>
      </c>
      <c r="D6" s="43">
        <v>118298</v>
      </c>
      <c r="E6" s="48">
        <v>3.38</v>
      </c>
      <c r="F6" s="47">
        <f>ROUND((D6*E6),0)</f>
        <v>399847</v>
      </c>
    </row>
    <row r="7" spans="1:11" ht="19.5" customHeight="1">
      <c r="A7" s="42" t="s">
        <v>738</v>
      </c>
      <c r="B7" s="11" t="s">
        <v>739</v>
      </c>
      <c r="C7" s="43" t="s">
        <v>735</v>
      </c>
      <c r="D7" s="43">
        <v>0</v>
      </c>
      <c r="E7" s="48">
        <v>0</v>
      </c>
      <c r="F7" s="47">
        <f t="shared" ref="F7:F38" si="0">ROUND((D7*E7),0)</f>
        <v>0</v>
      </c>
    </row>
    <row r="8" spans="1:11" ht="19.5" customHeight="1">
      <c r="A8" s="45" t="s">
        <v>740</v>
      </c>
      <c r="B8" s="16" t="s">
        <v>741</v>
      </c>
      <c r="C8" s="43" t="s">
        <v>95</v>
      </c>
      <c r="D8" s="43">
        <v>0</v>
      </c>
      <c r="E8" s="48">
        <v>0</v>
      </c>
      <c r="F8" s="47">
        <f t="shared" si="0"/>
        <v>0</v>
      </c>
    </row>
    <row r="9" spans="1:11" ht="19.5" customHeight="1">
      <c r="A9" s="45" t="s">
        <v>742</v>
      </c>
      <c r="B9" s="16" t="s">
        <v>108</v>
      </c>
      <c r="C9" s="43" t="s">
        <v>95</v>
      </c>
      <c r="D9" s="43">
        <v>0</v>
      </c>
      <c r="E9" s="48">
        <v>0</v>
      </c>
      <c r="F9" s="47">
        <f t="shared" si="0"/>
        <v>0</v>
      </c>
    </row>
    <row r="10" spans="1:11" ht="19.5" customHeight="1">
      <c r="A10" s="45" t="s">
        <v>743</v>
      </c>
      <c r="B10" s="16" t="s">
        <v>744</v>
      </c>
      <c r="C10" s="43" t="s">
        <v>95</v>
      </c>
      <c r="D10" s="43">
        <v>0</v>
      </c>
      <c r="E10" s="48">
        <v>0</v>
      </c>
      <c r="F10" s="47">
        <f t="shared" si="0"/>
        <v>0</v>
      </c>
    </row>
    <row r="11" spans="1:11" ht="19.5" customHeight="1">
      <c r="A11" s="42" t="s">
        <v>745</v>
      </c>
      <c r="B11" s="11" t="s">
        <v>746</v>
      </c>
      <c r="C11" s="43" t="s">
        <v>735</v>
      </c>
      <c r="D11" s="43">
        <v>0</v>
      </c>
      <c r="E11" s="48">
        <v>0</v>
      </c>
      <c r="F11" s="47">
        <f t="shared" si="0"/>
        <v>0</v>
      </c>
    </row>
    <row r="12" spans="1:11" ht="32.25" customHeight="1">
      <c r="A12" s="45" t="s">
        <v>747</v>
      </c>
      <c r="B12" s="16" t="s">
        <v>748</v>
      </c>
      <c r="C12" s="43" t="s">
        <v>65</v>
      </c>
      <c r="D12" s="43">
        <v>0</v>
      </c>
      <c r="E12" s="48">
        <v>0</v>
      </c>
      <c r="F12" s="47">
        <f t="shared" si="0"/>
        <v>0</v>
      </c>
    </row>
    <row r="13" spans="1:11" ht="19.5" customHeight="1">
      <c r="A13" s="42" t="s">
        <v>749</v>
      </c>
      <c r="B13" s="11" t="s">
        <v>750</v>
      </c>
      <c r="C13" s="43" t="s">
        <v>735</v>
      </c>
      <c r="D13" s="43">
        <v>0</v>
      </c>
      <c r="E13" s="48">
        <v>0</v>
      </c>
      <c r="F13" s="47">
        <f t="shared" si="0"/>
        <v>0</v>
      </c>
    </row>
    <row r="14" spans="1:11" ht="19.5" customHeight="1">
      <c r="A14" s="45" t="s">
        <v>751</v>
      </c>
      <c r="B14" s="16" t="s">
        <v>752</v>
      </c>
      <c r="C14" s="43" t="s">
        <v>95</v>
      </c>
      <c r="D14" s="43">
        <v>1015.6</v>
      </c>
      <c r="E14" s="48">
        <v>11.32</v>
      </c>
      <c r="F14" s="47">
        <f t="shared" si="0"/>
        <v>11497</v>
      </c>
    </row>
    <row r="15" spans="1:11" ht="19.5" customHeight="1">
      <c r="A15" s="45" t="s">
        <v>753</v>
      </c>
      <c r="B15" s="16" t="s">
        <v>754</v>
      </c>
      <c r="C15" s="43" t="s">
        <v>95</v>
      </c>
      <c r="D15" s="43">
        <v>7864.3</v>
      </c>
      <c r="E15" s="48">
        <v>33.619999999999997</v>
      </c>
      <c r="F15" s="47">
        <f t="shared" si="0"/>
        <v>264398</v>
      </c>
    </row>
    <row r="16" spans="1:11" ht="33" customHeight="1">
      <c r="A16" s="45" t="s">
        <v>755</v>
      </c>
      <c r="B16" s="16" t="s">
        <v>756</v>
      </c>
      <c r="C16" s="43" t="s">
        <v>95</v>
      </c>
      <c r="D16" s="43">
        <v>6209</v>
      </c>
      <c r="E16" s="48">
        <v>14.01</v>
      </c>
      <c r="F16" s="47">
        <f t="shared" si="0"/>
        <v>86988</v>
      </c>
    </row>
    <row r="17" spans="1:6" ht="19.5" customHeight="1">
      <c r="A17" s="45" t="s">
        <v>757</v>
      </c>
      <c r="B17" s="16" t="s">
        <v>758</v>
      </c>
      <c r="C17" s="43" t="s">
        <v>113</v>
      </c>
      <c r="D17" s="43">
        <v>0</v>
      </c>
      <c r="E17" s="48"/>
      <c r="F17" s="47">
        <f t="shared" si="0"/>
        <v>0</v>
      </c>
    </row>
    <row r="18" spans="1:6" ht="19.5" customHeight="1">
      <c r="A18" s="45" t="s">
        <v>759</v>
      </c>
      <c r="B18" s="16" t="s">
        <v>760</v>
      </c>
      <c r="C18" s="43" t="s">
        <v>95</v>
      </c>
      <c r="D18" s="43">
        <v>0</v>
      </c>
      <c r="E18" s="48">
        <v>0</v>
      </c>
      <c r="F18" s="47">
        <f t="shared" si="0"/>
        <v>0</v>
      </c>
    </row>
    <row r="19" spans="1:6" ht="19.5" customHeight="1">
      <c r="A19" s="42" t="s">
        <v>761</v>
      </c>
      <c r="B19" s="11" t="s">
        <v>762</v>
      </c>
      <c r="C19" s="43" t="s">
        <v>735</v>
      </c>
      <c r="D19" s="43">
        <v>0</v>
      </c>
      <c r="E19" s="48">
        <v>0</v>
      </c>
      <c r="F19" s="47">
        <f t="shared" si="0"/>
        <v>0</v>
      </c>
    </row>
    <row r="20" spans="1:6" ht="19.5" customHeight="1">
      <c r="A20" s="45" t="s">
        <v>763</v>
      </c>
      <c r="B20" s="16" t="s">
        <v>752</v>
      </c>
      <c r="C20" s="43" t="s">
        <v>95</v>
      </c>
      <c r="D20" s="43">
        <v>13271</v>
      </c>
      <c r="E20" s="48">
        <v>6.81</v>
      </c>
      <c r="F20" s="47">
        <f t="shared" si="0"/>
        <v>90376</v>
      </c>
    </row>
    <row r="21" spans="1:6" ht="19.5" customHeight="1">
      <c r="A21" s="45" t="s">
        <v>764</v>
      </c>
      <c r="B21" s="16" t="s">
        <v>754</v>
      </c>
      <c r="C21" s="43" t="s">
        <v>95</v>
      </c>
      <c r="D21" s="43">
        <v>0</v>
      </c>
      <c r="E21" s="48"/>
      <c r="F21" s="47">
        <f t="shared" si="0"/>
        <v>0</v>
      </c>
    </row>
    <row r="22" spans="1:6" ht="19.5" customHeight="1">
      <c r="A22" s="42" t="s">
        <v>765</v>
      </c>
      <c r="B22" s="11" t="s">
        <v>766</v>
      </c>
      <c r="C22" s="43" t="s">
        <v>735</v>
      </c>
      <c r="D22" s="43">
        <v>0</v>
      </c>
      <c r="E22" s="48">
        <v>0</v>
      </c>
      <c r="F22" s="47">
        <f t="shared" si="0"/>
        <v>0</v>
      </c>
    </row>
    <row r="23" spans="1:6" ht="19.5" customHeight="1">
      <c r="A23" s="45" t="s">
        <v>767</v>
      </c>
      <c r="B23" s="16" t="s">
        <v>768</v>
      </c>
      <c r="C23" s="43" t="s">
        <v>95</v>
      </c>
      <c r="D23" s="43">
        <v>0</v>
      </c>
      <c r="E23" s="48">
        <v>0</v>
      </c>
      <c r="F23" s="47">
        <f t="shared" si="0"/>
        <v>0</v>
      </c>
    </row>
    <row r="24" spans="1:6" ht="19.5" customHeight="1">
      <c r="A24" s="45" t="s">
        <v>769</v>
      </c>
      <c r="B24" s="16" t="s">
        <v>770</v>
      </c>
      <c r="C24" s="43" t="s">
        <v>95</v>
      </c>
      <c r="D24" s="43">
        <v>99032</v>
      </c>
      <c r="E24" s="48">
        <v>42.59</v>
      </c>
      <c r="F24" s="47">
        <f t="shared" si="0"/>
        <v>4217773</v>
      </c>
    </row>
    <row r="25" spans="1:6" ht="19.5" customHeight="1">
      <c r="A25" s="45" t="s">
        <v>771</v>
      </c>
      <c r="B25" s="16" t="s">
        <v>772</v>
      </c>
      <c r="C25" s="43" t="s">
        <v>95</v>
      </c>
      <c r="D25" s="43">
        <v>899.4</v>
      </c>
      <c r="E25" s="48">
        <v>6.47</v>
      </c>
      <c r="F25" s="47">
        <f t="shared" si="0"/>
        <v>5819</v>
      </c>
    </row>
    <row r="26" spans="1:6" ht="19.5" customHeight="1">
      <c r="A26" s="45" t="s">
        <v>773</v>
      </c>
      <c r="B26" s="16" t="s">
        <v>774</v>
      </c>
      <c r="C26" s="43" t="s">
        <v>95</v>
      </c>
      <c r="D26" s="43">
        <v>6779.1</v>
      </c>
      <c r="E26" s="48">
        <v>11.52</v>
      </c>
      <c r="F26" s="47">
        <f t="shared" si="0"/>
        <v>78095</v>
      </c>
    </row>
    <row r="27" spans="1:6" ht="19.5" customHeight="1">
      <c r="A27" s="45" t="s">
        <v>775</v>
      </c>
      <c r="B27" s="16" t="s">
        <v>776</v>
      </c>
      <c r="C27" s="43" t="s">
        <v>95</v>
      </c>
      <c r="D27" s="43">
        <v>46626</v>
      </c>
      <c r="E27" s="48">
        <v>112.72</v>
      </c>
      <c r="F27" s="47">
        <f t="shared" si="0"/>
        <v>5255683</v>
      </c>
    </row>
    <row r="28" spans="1:6" ht="19.5" customHeight="1">
      <c r="A28" s="45" t="s">
        <v>777</v>
      </c>
      <c r="B28" s="16" t="s">
        <v>778</v>
      </c>
      <c r="C28" s="43" t="s">
        <v>95</v>
      </c>
      <c r="D28" s="43">
        <v>297276.09999999998</v>
      </c>
      <c r="E28" s="48">
        <v>11.52</v>
      </c>
      <c r="F28" s="47">
        <f t="shared" si="0"/>
        <v>3424621</v>
      </c>
    </row>
    <row r="29" spans="1:6" ht="19.5" customHeight="1">
      <c r="A29" s="45" t="s">
        <v>779</v>
      </c>
      <c r="B29" s="16" t="s">
        <v>780</v>
      </c>
      <c r="C29" s="43" t="s">
        <v>95</v>
      </c>
      <c r="D29" s="43">
        <v>129633</v>
      </c>
      <c r="E29" s="48">
        <v>35.56</v>
      </c>
      <c r="F29" s="47">
        <f t="shared" si="0"/>
        <v>4609749</v>
      </c>
    </row>
    <row r="30" spans="1:6" ht="19.5" customHeight="1">
      <c r="A30" s="45" t="s">
        <v>781</v>
      </c>
      <c r="B30" s="16" t="s">
        <v>782</v>
      </c>
      <c r="C30" s="43" t="s">
        <v>783</v>
      </c>
      <c r="D30" s="43">
        <v>0</v>
      </c>
      <c r="E30" s="48">
        <v>0</v>
      </c>
      <c r="F30" s="47">
        <f t="shared" si="0"/>
        <v>0</v>
      </c>
    </row>
    <row r="31" spans="1:6" ht="18.899999999999999" customHeight="1">
      <c r="A31" s="45" t="s">
        <v>784</v>
      </c>
      <c r="B31" s="16" t="s">
        <v>785</v>
      </c>
      <c r="C31" s="43" t="s">
        <v>95</v>
      </c>
      <c r="D31" s="48">
        <v>49332</v>
      </c>
      <c r="E31" s="48">
        <v>46.47</v>
      </c>
      <c r="F31" s="47">
        <f t="shared" si="0"/>
        <v>2292458</v>
      </c>
    </row>
    <row r="32" spans="1:6" ht="18.899999999999999" customHeight="1">
      <c r="A32" s="45" t="s">
        <v>786</v>
      </c>
      <c r="B32" s="16" t="s">
        <v>787</v>
      </c>
      <c r="C32" s="43" t="s">
        <v>95</v>
      </c>
      <c r="D32" s="43">
        <v>7266.8</v>
      </c>
      <c r="E32" s="48">
        <v>100.65</v>
      </c>
      <c r="F32" s="47">
        <f t="shared" si="0"/>
        <v>731403</v>
      </c>
    </row>
    <row r="33" spans="1:6" ht="19.5" customHeight="1">
      <c r="A33" s="45" t="s">
        <v>788</v>
      </c>
      <c r="B33" s="16" t="s">
        <v>789</v>
      </c>
      <c r="C33" s="43" t="s">
        <v>95</v>
      </c>
      <c r="D33" s="43">
        <v>404.9</v>
      </c>
      <c r="E33" s="48">
        <v>21.57</v>
      </c>
      <c r="F33" s="47">
        <f t="shared" si="0"/>
        <v>8734</v>
      </c>
    </row>
    <row r="34" spans="1:6" ht="19.5" customHeight="1">
      <c r="A34" s="45" t="s">
        <v>790</v>
      </c>
      <c r="B34" s="16" t="s">
        <v>791</v>
      </c>
      <c r="C34" s="43" t="s">
        <v>95</v>
      </c>
      <c r="D34" s="43">
        <v>8253</v>
      </c>
      <c r="E34" s="48">
        <v>18.899999999999999</v>
      </c>
      <c r="F34" s="47">
        <f t="shared" si="0"/>
        <v>155982</v>
      </c>
    </row>
    <row r="35" spans="1:6" ht="19.5" customHeight="1">
      <c r="A35" s="45" t="s">
        <v>792</v>
      </c>
      <c r="B35" s="16" t="s">
        <v>793</v>
      </c>
      <c r="C35" s="43" t="s">
        <v>95</v>
      </c>
      <c r="D35" s="43">
        <v>0</v>
      </c>
      <c r="E35" s="48">
        <v>0</v>
      </c>
      <c r="F35" s="47">
        <f t="shared" si="0"/>
        <v>0</v>
      </c>
    </row>
    <row r="36" spans="1:6" ht="19.5" customHeight="1">
      <c r="A36" s="42" t="s">
        <v>794</v>
      </c>
      <c r="B36" s="11" t="s">
        <v>795</v>
      </c>
      <c r="C36" s="43" t="s">
        <v>735</v>
      </c>
      <c r="D36" s="43">
        <v>0</v>
      </c>
      <c r="E36" s="48">
        <v>0</v>
      </c>
      <c r="F36" s="47">
        <f t="shared" si="0"/>
        <v>0</v>
      </c>
    </row>
    <row r="37" spans="1:6" ht="19.5" customHeight="1">
      <c r="A37" s="45" t="s">
        <v>796</v>
      </c>
      <c r="B37" s="16" t="s">
        <v>772</v>
      </c>
      <c r="C37" s="43" t="s">
        <v>95</v>
      </c>
      <c r="D37" s="43">
        <v>1097.8</v>
      </c>
      <c r="E37" s="48">
        <v>4.8499999999999996</v>
      </c>
      <c r="F37" s="47">
        <f t="shared" si="0"/>
        <v>5324</v>
      </c>
    </row>
    <row r="38" spans="1:6" ht="19.5" customHeight="1">
      <c r="A38" s="45" t="s">
        <v>797</v>
      </c>
      <c r="B38" s="16" t="s">
        <v>774</v>
      </c>
      <c r="C38" s="43" t="s">
        <v>95</v>
      </c>
      <c r="D38" s="43">
        <v>0</v>
      </c>
      <c r="E38" s="48"/>
      <c r="F38" s="47">
        <f t="shared" si="0"/>
        <v>0</v>
      </c>
    </row>
    <row r="39" spans="1:6" ht="19.5" customHeight="1">
      <c r="A39" s="45" t="s">
        <v>798</v>
      </c>
      <c r="B39" s="16" t="s">
        <v>799</v>
      </c>
      <c r="C39" s="43" t="s">
        <v>95</v>
      </c>
      <c r="D39" s="43">
        <v>0</v>
      </c>
      <c r="E39" s="48">
        <v>0</v>
      </c>
      <c r="F39" s="47">
        <f t="shared" ref="F39:F70" si="1">ROUND((D39*E39),0)</f>
        <v>0</v>
      </c>
    </row>
    <row r="40" spans="1:6" ht="19.5" customHeight="1">
      <c r="A40" s="45" t="s">
        <v>800</v>
      </c>
      <c r="B40" s="16" t="s">
        <v>782</v>
      </c>
      <c r="C40" s="43" t="s">
        <v>783</v>
      </c>
      <c r="D40" s="43">
        <v>0</v>
      </c>
      <c r="E40" s="48">
        <v>0</v>
      </c>
      <c r="F40" s="47">
        <f t="shared" si="1"/>
        <v>0</v>
      </c>
    </row>
    <row r="41" spans="1:6" ht="19.5" customHeight="1">
      <c r="A41" s="45" t="s">
        <v>801</v>
      </c>
      <c r="B41" s="16" t="s">
        <v>778</v>
      </c>
      <c r="C41" s="43" t="s">
        <v>95</v>
      </c>
      <c r="D41" s="43">
        <v>0</v>
      </c>
      <c r="E41" s="48">
        <v>0</v>
      </c>
      <c r="F41" s="47">
        <f t="shared" si="1"/>
        <v>0</v>
      </c>
    </row>
    <row r="42" spans="1:6" ht="19.5" customHeight="1">
      <c r="A42" s="45" t="s">
        <v>802</v>
      </c>
      <c r="B42" s="16" t="s">
        <v>803</v>
      </c>
      <c r="C42" s="43" t="s">
        <v>95</v>
      </c>
      <c r="D42" s="43">
        <v>11871.5</v>
      </c>
      <c r="E42" s="48">
        <v>328.69</v>
      </c>
      <c r="F42" s="47">
        <f t="shared" si="1"/>
        <v>3902043</v>
      </c>
    </row>
    <row r="43" spans="1:6" ht="19.5" customHeight="1">
      <c r="A43" s="45" t="s">
        <v>804</v>
      </c>
      <c r="B43" s="16" t="s">
        <v>805</v>
      </c>
      <c r="C43" s="43" t="s">
        <v>95</v>
      </c>
      <c r="D43" s="59">
        <v>0</v>
      </c>
      <c r="E43" s="48">
        <v>0</v>
      </c>
      <c r="F43" s="47">
        <f t="shared" si="1"/>
        <v>0</v>
      </c>
    </row>
    <row r="44" spans="1:6" ht="19.5" customHeight="1">
      <c r="A44" s="45" t="s">
        <v>806</v>
      </c>
      <c r="B44" s="16" t="s">
        <v>807</v>
      </c>
      <c r="C44" s="43" t="s">
        <v>95</v>
      </c>
      <c r="D44" s="43">
        <v>3877.2</v>
      </c>
      <c r="E44" s="48">
        <v>366.41</v>
      </c>
      <c r="F44" s="47">
        <f t="shared" si="1"/>
        <v>1420645</v>
      </c>
    </row>
    <row r="45" spans="1:6" ht="19.5" customHeight="1">
      <c r="A45" s="45" t="s">
        <v>808</v>
      </c>
      <c r="B45" s="16" t="s">
        <v>809</v>
      </c>
      <c r="C45" s="43" t="s">
        <v>140</v>
      </c>
      <c r="D45" s="43">
        <v>0</v>
      </c>
      <c r="E45" s="48">
        <v>0</v>
      </c>
      <c r="F45" s="47">
        <f t="shared" si="1"/>
        <v>0</v>
      </c>
    </row>
    <row r="46" spans="1:6" ht="19.5" customHeight="1">
      <c r="A46" s="45" t="s">
        <v>810</v>
      </c>
      <c r="B46" s="16" t="s">
        <v>811</v>
      </c>
      <c r="C46" s="43" t="s">
        <v>140</v>
      </c>
      <c r="D46" s="43">
        <v>0</v>
      </c>
      <c r="E46" s="48"/>
      <c r="F46" s="47">
        <f t="shared" si="1"/>
        <v>0</v>
      </c>
    </row>
    <row r="47" spans="1:6" ht="30" customHeight="1">
      <c r="A47" s="42" t="s">
        <v>812</v>
      </c>
      <c r="B47" s="11" t="s">
        <v>813</v>
      </c>
      <c r="C47" s="43" t="s">
        <v>735</v>
      </c>
      <c r="D47" s="43">
        <v>0</v>
      </c>
      <c r="E47" s="48">
        <v>0</v>
      </c>
      <c r="F47" s="47">
        <f t="shared" si="1"/>
        <v>0</v>
      </c>
    </row>
    <row r="48" spans="1:6" ht="19.5" customHeight="1">
      <c r="A48" s="45" t="s">
        <v>814</v>
      </c>
      <c r="B48" s="16" t="s">
        <v>815</v>
      </c>
      <c r="C48" s="43" t="s">
        <v>113</v>
      </c>
      <c r="D48" s="43">
        <v>0</v>
      </c>
      <c r="E48" s="48"/>
      <c r="F48" s="47">
        <f t="shared" si="1"/>
        <v>0</v>
      </c>
    </row>
    <row r="49" spans="1:6" ht="19.5" customHeight="1">
      <c r="A49" s="45" t="s">
        <v>816</v>
      </c>
      <c r="B49" s="16" t="s">
        <v>817</v>
      </c>
      <c r="C49" s="43" t="s">
        <v>113</v>
      </c>
      <c r="D49" s="43">
        <v>0</v>
      </c>
      <c r="E49" s="48"/>
      <c r="F49" s="47">
        <f t="shared" si="1"/>
        <v>0</v>
      </c>
    </row>
    <row r="50" spans="1:6" ht="19.5" customHeight="1">
      <c r="A50" s="45" t="s">
        <v>818</v>
      </c>
      <c r="B50" s="16" t="s">
        <v>819</v>
      </c>
      <c r="C50" s="43" t="s">
        <v>113</v>
      </c>
      <c r="D50" s="43">
        <v>0</v>
      </c>
      <c r="E50" s="48"/>
      <c r="F50" s="47">
        <f t="shared" si="1"/>
        <v>0</v>
      </c>
    </row>
    <row r="51" spans="1:6" ht="19.5" customHeight="1">
      <c r="A51" s="45" t="s">
        <v>820</v>
      </c>
      <c r="B51" s="16" t="s">
        <v>821</v>
      </c>
      <c r="C51" s="43" t="s">
        <v>113</v>
      </c>
      <c r="D51" s="43">
        <v>0</v>
      </c>
      <c r="E51" s="48"/>
      <c r="F51" s="47">
        <f t="shared" si="1"/>
        <v>0</v>
      </c>
    </row>
    <row r="52" spans="1:6" ht="19.5" customHeight="1">
      <c r="A52" s="42" t="s">
        <v>822</v>
      </c>
      <c r="B52" s="11" t="s">
        <v>823</v>
      </c>
      <c r="C52" s="43" t="s">
        <v>735</v>
      </c>
      <c r="D52" s="43">
        <v>0</v>
      </c>
      <c r="E52" s="48">
        <v>0</v>
      </c>
      <c r="F52" s="47">
        <f t="shared" si="1"/>
        <v>0</v>
      </c>
    </row>
    <row r="53" spans="1:6" ht="19.5" customHeight="1">
      <c r="A53" s="45" t="s">
        <v>824</v>
      </c>
      <c r="B53" s="16" t="s">
        <v>825</v>
      </c>
      <c r="C53" s="43" t="s">
        <v>95</v>
      </c>
      <c r="D53" s="43">
        <v>0</v>
      </c>
      <c r="E53" s="48">
        <v>0</v>
      </c>
      <c r="F53" s="47">
        <f t="shared" si="1"/>
        <v>0</v>
      </c>
    </row>
    <row r="54" spans="1:6" ht="19.5" customHeight="1">
      <c r="A54" s="45" t="s">
        <v>826</v>
      </c>
      <c r="B54" s="16" t="s">
        <v>307</v>
      </c>
      <c r="C54" s="43" t="s">
        <v>113</v>
      </c>
      <c r="D54" s="43">
        <v>121457.4</v>
      </c>
      <c r="E54" s="48">
        <v>19.309999999999999</v>
      </c>
      <c r="F54" s="47">
        <f t="shared" si="1"/>
        <v>2345342</v>
      </c>
    </row>
    <row r="55" spans="1:6" ht="19.5" customHeight="1">
      <c r="A55" s="45" t="s">
        <v>827</v>
      </c>
      <c r="B55" s="16" t="s">
        <v>828</v>
      </c>
      <c r="C55" s="43" t="s">
        <v>113</v>
      </c>
      <c r="D55" s="43">
        <v>133428</v>
      </c>
      <c r="E55" s="48">
        <v>25.57</v>
      </c>
      <c r="F55" s="47">
        <f t="shared" si="1"/>
        <v>3411754</v>
      </c>
    </row>
    <row r="56" spans="1:6" ht="19.5" customHeight="1">
      <c r="A56" s="45" t="s">
        <v>829</v>
      </c>
      <c r="B56" s="16" t="s">
        <v>830</v>
      </c>
      <c r="C56" s="43" t="s">
        <v>113</v>
      </c>
      <c r="D56" s="43">
        <v>0</v>
      </c>
      <c r="E56" s="48">
        <v>0</v>
      </c>
      <c r="F56" s="47">
        <f t="shared" si="1"/>
        <v>0</v>
      </c>
    </row>
    <row r="57" spans="1:6" ht="19.5" customHeight="1">
      <c r="A57" s="45" t="s">
        <v>831</v>
      </c>
      <c r="B57" s="16" t="s">
        <v>832</v>
      </c>
      <c r="C57" s="43" t="s">
        <v>95</v>
      </c>
      <c r="D57" s="48">
        <v>0</v>
      </c>
      <c r="E57" s="48"/>
      <c r="F57" s="47">
        <f t="shared" si="1"/>
        <v>0</v>
      </c>
    </row>
    <row r="58" spans="1:6" ht="19.5" customHeight="1">
      <c r="A58" s="42" t="s">
        <v>833</v>
      </c>
      <c r="B58" s="11" t="s">
        <v>834</v>
      </c>
      <c r="C58" s="43" t="s">
        <v>735</v>
      </c>
      <c r="D58" s="48">
        <v>0</v>
      </c>
      <c r="E58" s="48"/>
      <c r="F58" s="47">
        <f t="shared" si="1"/>
        <v>0</v>
      </c>
    </row>
    <row r="59" spans="1:6" ht="19.5" customHeight="1">
      <c r="A59" s="45" t="s">
        <v>835</v>
      </c>
      <c r="B59" s="16" t="s">
        <v>836</v>
      </c>
      <c r="C59" s="43" t="s">
        <v>95</v>
      </c>
      <c r="D59" s="48">
        <v>0</v>
      </c>
      <c r="E59" s="48"/>
      <c r="F59" s="47">
        <f t="shared" si="1"/>
        <v>0</v>
      </c>
    </row>
    <row r="60" spans="1:6" ht="19.5" customHeight="1">
      <c r="A60" s="45" t="s">
        <v>837</v>
      </c>
      <c r="B60" s="16" t="s">
        <v>838</v>
      </c>
      <c r="C60" s="43" t="s">
        <v>95</v>
      </c>
      <c r="D60" s="48">
        <v>0</v>
      </c>
      <c r="E60" s="48"/>
      <c r="F60" s="47">
        <f t="shared" si="1"/>
        <v>0</v>
      </c>
    </row>
    <row r="61" spans="1:6" ht="19.5" customHeight="1">
      <c r="A61" s="42" t="s">
        <v>839</v>
      </c>
      <c r="B61" s="11" t="s">
        <v>840</v>
      </c>
      <c r="C61" s="43" t="s">
        <v>735</v>
      </c>
      <c r="D61" s="43">
        <v>0</v>
      </c>
      <c r="E61" s="48"/>
      <c r="F61" s="47">
        <f t="shared" si="1"/>
        <v>0</v>
      </c>
    </row>
    <row r="62" spans="1:6" ht="19.5" customHeight="1">
      <c r="A62" s="45" t="s">
        <v>841</v>
      </c>
      <c r="B62" s="16" t="s">
        <v>842</v>
      </c>
      <c r="C62" s="43" t="s">
        <v>95</v>
      </c>
      <c r="D62" s="43">
        <v>0</v>
      </c>
      <c r="E62" s="48"/>
      <c r="F62" s="47">
        <f t="shared" si="1"/>
        <v>0</v>
      </c>
    </row>
    <row r="63" spans="1:6" ht="19.5" customHeight="1">
      <c r="A63" s="45" t="s">
        <v>843</v>
      </c>
      <c r="B63" s="16" t="s">
        <v>844</v>
      </c>
      <c r="C63" s="43" t="s">
        <v>95</v>
      </c>
      <c r="D63" s="43">
        <v>0</v>
      </c>
      <c r="E63" s="48"/>
      <c r="F63" s="47">
        <f t="shared" si="1"/>
        <v>0</v>
      </c>
    </row>
    <row r="64" spans="1:6" ht="19.5" customHeight="1">
      <c r="A64" s="45" t="s">
        <v>845</v>
      </c>
      <c r="B64" s="16" t="s">
        <v>846</v>
      </c>
      <c r="C64" s="43" t="s">
        <v>164</v>
      </c>
      <c r="D64" s="48">
        <v>0</v>
      </c>
      <c r="E64" s="48"/>
      <c r="F64" s="47">
        <f t="shared" si="1"/>
        <v>0</v>
      </c>
    </row>
    <row r="65" spans="1:6" ht="19.5" customHeight="1">
      <c r="A65" s="45" t="s">
        <v>847</v>
      </c>
      <c r="B65" s="16" t="s">
        <v>848</v>
      </c>
      <c r="C65" s="43" t="s">
        <v>164</v>
      </c>
      <c r="D65" s="43">
        <v>0</v>
      </c>
      <c r="E65" s="48"/>
      <c r="F65" s="47">
        <f t="shared" si="1"/>
        <v>0</v>
      </c>
    </row>
    <row r="66" spans="1:6" ht="19.5" customHeight="1">
      <c r="A66" s="45" t="s">
        <v>849</v>
      </c>
      <c r="B66" s="16" t="s">
        <v>803</v>
      </c>
      <c r="C66" s="43" t="s">
        <v>95</v>
      </c>
      <c r="D66" s="48">
        <v>0</v>
      </c>
      <c r="E66" s="48"/>
      <c r="F66" s="47">
        <f t="shared" si="1"/>
        <v>0</v>
      </c>
    </row>
    <row r="67" spans="1:6" ht="19.5" customHeight="1">
      <c r="A67" s="45" t="s">
        <v>850</v>
      </c>
      <c r="B67" s="16" t="s">
        <v>851</v>
      </c>
      <c r="C67" s="43" t="s">
        <v>140</v>
      </c>
      <c r="D67" s="48">
        <v>0</v>
      </c>
      <c r="E67" s="48">
        <v>0</v>
      </c>
      <c r="F67" s="47">
        <f t="shared" si="1"/>
        <v>0</v>
      </c>
    </row>
    <row r="68" spans="1:6" ht="19.5" customHeight="1">
      <c r="A68" s="45" t="s">
        <v>852</v>
      </c>
      <c r="B68" s="16" t="s">
        <v>853</v>
      </c>
      <c r="C68" s="43" t="s">
        <v>140</v>
      </c>
      <c r="D68" s="48">
        <v>0</v>
      </c>
      <c r="E68" s="48">
        <v>0</v>
      </c>
      <c r="F68" s="47">
        <f t="shared" si="1"/>
        <v>0</v>
      </c>
    </row>
    <row r="69" spans="1:6" ht="19.5" customHeight="1">
      <c r="A69" s="45" t="s">
        <v>854</v>
      </c>
      <c r="B69" s="16" t="s">
        <v>855</v>
      </c>
      <c r="C69" s="43" t="s">
        <v>140</v>
      </c>
      <c r="D69" s="48">
        <v>0</v>
      </c>
      <c r="E69" s="48"/>
      <c r="F69" s="47">
        <f t="shared" si="1"/>
        <v>0</v>
      </c>
    </row>
    <row r="70" spans="1:6" ht="19.5" customHeight="1">
      <c r="A70" s="42" t="s">
        <v>856</v>
      </c>
      <c r="B70" s="11" t="s">
        <v>857</v>
      </c>
      <c r="C70" s="43" t="s">
        <v>735</v>
      </c>
      <c r="D70" s="43">
        <v>0</v>
      </c>
      <c r="E70" s="48">
        <v>0</v>
      </c>
      <c r="F70" s="47">
        <f t="shared" si="1"/>
        <v>0</v>
      </c>
    </row>
    <row r="71" spans="1:6" ht="19.5" customHeight="1">
      <c r="A71" s="45" t="s">
        <v>858</v>
      </c>
      <c r="B71" s="16" t="s">
        <v>803</v>
      </c>
      <c r="C71" s="43" t="s">
        <v>95</v>
      </c>
      <c r="D71" s="43">
        <v>99.64</v>
      </c>
      <c r="E71" s="48">
        <v>327.84</v>
      </c>
      <c r="F71" s="47">
        <f t="shared" ref="F71:F102" si="2">ROUND((D71*E71),0)</f>
        <v>32666</v>
      </c>
    </row>
    <row r="72" spans="1:6" ht="19.5" customHeight="1">
      <c r="A72" s="45" t="s">
        <v>859</v>
      </c>
      <c r="B72" s="16" t="s">
        <v>860</v>
      </c>
      <c r="C72" s="43" t="s">
        <v>95</v>
      </c>
      <c r="D72" s="43">
        <v>0</v>
      </c>
      <c r="E72" s="48">
        <v>0</v>
      </c>
      <c r="F72" s="47">
        <f t="shared" si="2"/>
        <v>0</v>
      </c>
    </row>
    <row r="73" spans="1:6" ht="19.5" customHeight="1">
      <c r="A73" s="45" t="s">
        <v>861</v>
      </c>
      <c r="B73" s="16" t="s">
        <v>497</v>
      </c>
      <c r="C73" s="43" t="s">
        <v>95</v>
      </c>
      <c r="D73" s="43">
        <v>24.54</v>
      </c>
      <c r="E73" s="48">
        <v>494</v>
      </c>
      <c r="F73" s="47">
        <f t="shared" si="2"/>
        <v>12123</v>
      </c>
    </row>
    <row r="74" spans="1:6" ht="19.5" customHeight="1">
      <c r="A74" s="45" t="s">
        <v>862</v>
      </c>
      <c r="B74" s="16" t="s">
        <v>303</v>
      </c>
      <c r="C74" s="43" t="s">
        <v>95</v>
      </c>
      <c r="D74" s="48">
        <v>9.73</v>
      </c>
      <c r="E74" s="48">
        <v>494</v>
      </c>
      <c r="F74" s="47">
        <f t="shared" si="2"/>
        <v>4807</v>
      </c>
    </row>
    <row r="75" spans="1:6" ht="19.5" customHeight="1">
      <c r="A75" s="45" t="s">
        <v>863</v>
      </c>
      <c r="B75" s="16" t="s">
        <v>846</v>
      </c>
      <c r="C75" s="43" t="s">
        <v>164</v>
      </c>
      <c r="D75" s="48">
        <v>370.88</v>
      </c>
      <c r="E75" s="48">
        <v>5.71</v>
      </c>
      <c r="F75" s="47">
        <f t="shared" si="2"/>
        <v>2118</v>
      </c>
    </row>
    <row r="76" spans="1:6" ht="19.5" customHeight="1">
      <c r="A76" s="45" t="s">
        <v>864</v>
      </c>
      <c r="B76" s="16" t="s">
        <v>848</v>
      </c>
      <c r="C76" s="43" t="s">
        <v>164</v>
      </c>
      <c r="D76" s="48">
        <v>1254</v>
      </c>
      <c r="E76" s="48">
        <v>5.71</v>
      </c>
      <c r="F76" s="47">
        <f t="shared" si="2"/>
        <v>7160</v>
      </c>
    </row>
    <row r="77" spans="1:6" ht="29.25" customHeight="1">
      <c r="A77" s="42" t="s">
        <v>865</v>
      </c>
      <c r="B77" s="11" t="s">
        <v>866</v>
      </c>
      <c r="C77" s="43" t="s">
        <v>735</v>
      </c>
      <c r="D77" s="48">
        <v>0</v>
      </c>
      <c r="E77" s="48">
        <v>0</v>
      </c>
      <c r="F77" s="47">
        <f t="shared" si="2"/>
        <v>0</v>
      </c>
    </row>
    <row r="78" spans="1:6" ht="19.5" customHeight="1">
      <c r="A78" s="45" t="s">
        <v>867</v>
      </c>
      <c r="B78" s="16" t="s">
        <v>803</v>
      </c>
      <c r="C78" s="43" t="s">
        <v>95</v>
      </c>
      <c r="D78" s="43">
        <v>4130.1000000000004</v>
      </c>
      <c r="E78" s="48">
        <v>329.83</v>
      </c>
      <c r="F78" s="47">
        <f t="shared" si="2"/>
        <v>1362231</v>
      </c>
    </row>
    <row r="79" spans="1:6" ht="19.5" customHeight="1">
      <c r="A79" s="45" t="s">
        <v>868</v>
      </c>
      <c r="B79" s="16" t="s">
        <v>805</v>
      </c>
      <c r="C79" s="43" t="s">
        <v>95</v>
      </c>
      <c r="D79" s="43">
        <v>0</v>
      </c>
      <c r="E79" s="48">
        <v>0</v>
      </c>
      <c r="F79" s="47">
        <f t="shared" si="2"/>
        <v>0</v>
      </c>
    </row>
    <row r="80" spans="1:6" ht="19.5" customHeight="1">
      <c r="A80" s="42" t="s">
        <v>869</v>
      </c>
      <c r="B80" s="11" t="s">
        <v>870</v>
      </c>
      <c r="C80" s="43" t="s">
        <v>735</v>
      </c>
      <c r="D80" s="60">
        <v>0</v>
      </c>
      <c r="E80" s="48">
        <v>0</v>
      </c>
      <c r="F80" s="47">
        <f t="shared" si="2"/>
        <v>0</v>
      </c>
    </row>
    <row r="81" spans="1:6" ht="19.5" customHeight="1">
      <c r="A81" s="45" t="s">
        <v>871</v>
      </c>
      <c r="B81" s="16" t="s">
        <v>803</v>
      </c>
      <c r="C81" s="43" t="s">
        <v>95</v>
      </c>
      <c r="D81" s="60">
        <v>0</v>
      </c>
      <c r="E81" s="48"/>
      <c r="F81" s="47">
        <f t="shared" si="2"/>
        <v>0</v>
      </c>
    </row>
    <row r="82" spans="1:6" ht="19.5" customHeight="1">
      <c r="A82" s="42" t="s">
        <v>872</v>
      </c>
      <c r="B82" s="11" t="s">
        <v>873</v>
      </c>
      <c r="C82" s="43" t="s">
        <v>735</v>
      </c>
      <c r="D82" s="60">
        <v>0</v>
      </c>
      <c r="E82" s="48">
        <v>0</v>
      </c>
      <c r="F82" s="47">
        <f t="shared" si="2"/>
        <v>0</v>
      </c>
    </row>
    <row r="83" spans="1:6" ht="19.5" customHeight="1">
      <c r="A83" s="45" t="s">
        <v>874</v>
      </c>
      <c r="B83" s="16" t="s">
        <v>803</v>
      </c>
      <c r="C83" s="43" t="s">
        <v>95</v>
      </c>
      <c r="D83" s="43">
        <v>172.7</v>
      </c>
      <c r="E83" s="48">
        <v>327.92</v>
      </c>
      <c r="F83" s="47">
        <f t="shared" si="2"/>
        <v>56632</v>
      </c>
    </row>
    <row r="84" spans="1:6" ht="19.5" customHeight="1">
      <c r="A84" s="45" t="s">
        <v>875</v>
      </c>
      <c r="B84" s="16" t="s">
        <v>494</v>
      </c>
      <c r="C84" s="43" t="s">
        <v>95</v>
      </c>
      <c r="D84" s="43">
        <v>195.64</v>
      </c>
      <c r="E84" s="48">
        <v>476.87</v>
      </c>
      <c r="F84" s="47">
        <f t="shared" si="2"/>
        <v>93295</v>
      </c>
    </row>
    <row r="85" spans="1:6" ht="19.5" customHeight="1">
      <c r="A85" s="45" t="s">
        <v>876</v>
      </c>
      <c r="B85" s="16" t="s">
        <v>497</v>
      </c>
      <c r="C85" s="43" t="s">
        <v>95</v>
      </c>
      <c r="D85" s="43">
        <v>0</v>
      </c>
      <c r="E85" s="48"/>
      <c r="F85" s="47">
        <f t="shared" si="2"/>
        <v>0</v>
      </c>
    </row>
    <row r="86" spans="1:6" ht="19.5" customHeight="1">
      <c r="A86" s="45" t="s">
        <v>877</v>
      </c>
      <c r="B86" s="16" t="s">
        <v>878</v>
      </c>
      <c r="C86" s="43" t="s">
        <v>95</v>
      </c>
      <c r="D86" s="48">
        <v>255.2</v>
      </c>
      <c r="E86" s="48">
        <v>459.09</v>
      </c>
      <c r="F86" s="47">
        <f t="shared" si="2"/>
        <v>117160</v>
      </c>
    </row>
    <row r="87" spans="1:6" ht="19.5" customHeight="1">
      <c r="A87" s="45" t="s">
        <v>879</v>
      </c>
      <c r="B87" s="16" t="s">
        <v>846</v>
      </c>
      <c r="C87" s="43" t="s">
        <v>164</v>
      </c>
      <c r="D87" s="43">
        <v>0</v>
      </c>
      <c r="E87" s="48"/>
      <c r="F87" s="47">
        <f t="shared" si="2"/>
        <v>0</v>
      </c>
    </row>
    <row r="88" spans="1:6" ht="19.5" customHeight="1">
      <c r="A88" s="45" t="s">
        <v>880</v>
      </c>
      <c r="B88" s="16" t="s">
        <v>848</v>
      </c>
      <c r="C88" s="43" t="s">
        <v>164</v>
      </c>
      <c r="D88" s="43">
        <v>0</v>
      </c>
      <c r="E88" s="48"/>
      <c r="F88" s="47">
        <f t="shared" si="2"/>
        <v>0</v>
      </c>
    </row>
    <row r="89" spans="1:6" ht="19.5" customHeight="1">
      <c r="A89" s="42" t="s">
        <v>881</v>
      </c>
      <c r="B89" s="11" t="s">
        <v>882</v>
      </c>
      <c r="C89" s="43" t="s">
        <v>735</v>
      </c>
      <c r="D89" s="48">
        <v>0</v>
      </c>
      <c r="E89" s="48">
        <v>0</v>
      </c>
      <c r="F89" s="47">
        <f t="shared" si="2"/>
        <v>0</v>
      </c>
    </row>
    <row r="90" spans="1:6" ht="19.5" customHeight="1">
      <c r="A90" s="45" t="s">
        <v>883</v>
      </c>
      <c r="B90" s="16" t="s">
        <v>884</v>
      </c>
      <c r="C90" s="43" t="s">
        <v>140</v>
      </c>
      <c r="D90" s="48">
        <v>94</v>
      </c>
      <c r="E90" s="48">
        <v>124.47</v>
      </c>
      <c r="F90" s="47">
        <f t="shared" si="2"/>
        <v>11700</v>
      </c>
    </row>
    <row r="91" spans="1:6" ht="19.5" customHeight="1">
      <c r="A91" s="45" t="s">
        <v>885</v>
      </c>
      <c r="B91" s="16" t="s">
        <v>886</v>
      </c>
      <c r="C91" s="43" t="s">
        <v>140</v>
      </c>
      <c r="D91" s="43">
        <v>0</v>
      </c>
      <c r="E91" s="48"/>
      <c r="F91" s="47">
        <f t="shared" si="2"/>
        <v>0</v>
      </c>
    </row>
    <row r="92" spans="1:6" ht="19.5" customHeight="1">
      <c r="A92" s="45" t="s">
        <v>887</v>
      </c>
      <c r="B92" s="16" t="s">
        <v>888</v>
      </c>
      <c r="C92" s="43" t="s">
        <v>140</v>
      </c>
      <c r="D92" s="43">
        <v>135.19999999999999</v>
      </c>
      <c r="E92" s="48">
        <v>51.1</v>
      </c>
      <c r="F92" s="47">
        <f t="shared" si="2"/>
        <v>6909</v>
      </c>
    </row>
    <row r="93" spans="1:6" ht="19.5" customHeight="1">
      <c r="A93" s="45" t="s">
        <v>889</v>
      </c>
      <c r="B93" s="16" t="s">
        <v>890</v>
      </c>
      <c r="C93" s="43" t="s">
        <v>140</v>
      </c>
      <c r="D93" s="48">
        <v>0</v>
      </c>
      <c r="E93" s="48">
        <v>0</v>
      </c>
      <c r="F93" s="47">
        <f t="shared" si="2"/>
        <v>0</v>
      </c>
    </row>
    <row r="94" spans="1:6" ht="19.5" customHeight="1">
      <c r="A94" s="45" t="s">
        <v>891</v>
      </c>
      <c r="B94" s="16" t="s">
        <v>892</v>
      </c>
      <c r="C94" s="43" t="s">
        <v>140</v>
      </c>
      <c r="D94" s="48">
        <v>1085</v>
      </c>
      <c r="E94" s="48">
        <v>102.38</v>
      </c>
      <c r="F94" s="47">
        <f t="shared" si="2"/>
        <v>111082</v>
      </c>
    </row>
    <row r="95" spans="1:6" ht="19.5" customHeight="1">
      <c r="A95" s="42" t="s">
        <v>893</v>
      </c>
      <c r="B95" s="11" t="s">
        <v>894</v>
      </c>
      <c r="C95" s="43" t="s">
        <v>735</v>
      </c>
      <c r="D95" s="48">
        <v>0</v>
      </c>
      <c r="E95" s="48">
        <v>0</v>
      </c>
      <c r="F95" s="47">
        <f t="shared" si="2"/>
        <v>0</v>
      </c>
    </row>
    <row r="96" spans="1:6" ht="19.5" customHeight="1">
      <c r="A96" s="45" t="s">
        <v>895</v>
      </c>
      <c r="B96" s="16" t="s">
        <v>896</v>
      </c>
      <c r="C96" s="43" t="s">
        <v>140</v>
      </c>
      <c r="D96" s="48">
        <v>230</v>
      </c>
      <c r="E96" s="48">
        <v>161.97</v>
      </c>
      <c r="F96" s="47">
        <f t="shared" si="2"/>
        <v>37253</v>
      </c>
    </row>
    <row r="97" spans="1:6" ht="19.5" customHeight="1">
      <c r="A97" s="42" t="s">
        <v>897</v>
      </c>
      <c r="B97" s="11" t="s">
        <v>898</v>
      </c>
      <c r="C97" s="43" t="s">
        <v>735</v>
      </c>
      <c r="D97" s="48">
        <v>0</v>
      </c>
      <c r="E97" s="48">
        <v>0</v>
      </c>
      <c r="F97" s="47">
        <f t="shared" si="2"/>
        <v>0</v>
      </c>
    </row>
    <row r="98" spans="1:6" ht="19.5" customHeight="1">
      <c r="A98" s="45" t="s">
        <v>899</v>
      </c>
      <c r="B98" s="16" t="s">
        <v>900</v>
      </c>
      <c r="C98" s="43" t="s">
        <v>113</v>
      </c>
      <c r="D98" s="48">
        <v>206682.74</v>
      </c>
      <c r="E98" s="48">
        <v>5.93</v>
      </c>
      <c r="F98" s="47">
        <f t="shared" si="2"/>
        <v>1225629</v>
      </c>
    </row>
    <row r="99" spans="1:6" ht="19.5" customHeight="1">
      <c r="A99" s="45" t="s">
        <v>901</v>
      </c>
      <c r="B99" s="16" t="s">
        <v>902</v>
      </c>
      <c r="C99" s="43" t="s">
        <v>113</v>
      </c>
      <c r="D99" s="48">
        <v>0</v>
      </c>
      <c r="E99" s="48">
        <v>0</v>
      </c>
      <c r="F99" s="47">
        <f t="shared" si="2"/>
        <v>0</v>
      </c>
    </row>
    <row r="100" spans="1:6" ht="19.5" customHeight="1">
      <c r="A100" s="45" t="s">
        <v>903</v>
      </c>
      <c r="B100" s="16" t="s">
        <v>904</v>
      </c>
      <c r="C100" s="43" t="s">
        <v>113</v>
      </c>
      <c r="D100" s="48">
        <v>0</v>
      </c>
      <c r="E100" s="48">
        <v>0</v>
      </c>
      <c r="F100" s="47">
        <f t="shared" si="2"/>
        <v>0</v>
      </c>
    </row>
    <row r="101" spans="1:6" ht="19.5" customHeight="1">
      <c r="A101" s="45" t="s">
        <v>905</v>
      </c>
      <c r="B101" s="16" t="s">
        <v>906</v>
      </c>
      <c r="C101" s="43" t="s">
        <v>113</v>
      </c>
      <c r="D101" s="48">
        <v>0</v>
      </c>
      <c r="E101" s="48"/>
      <c r="F101" s="47">
        <f t="shared" si="2"/>
        <v>0</v>
      </c>
    </row>
    <row r="102" spans="1:6" ht="19.5" customHeight="1">
      <c r="A102" s="42" t="s">
        <v>907</v>
      </c>
      <c r="B102" s="11" t="s">
        <v>908</v>
      </c>
      <c r="C102" s="43" t="s">
        <v>735</v>
      </c>
      <c r="D102" s="48">
        <v>0</v>
      </c>
      <c r="E102" s="48">
        <v>0</v>
      </c>
      <c r="F102" s="47">
        <f t="shared" si="2"/>
        <v>0</v>
      </c>
    </row>
    <row r="103" spans="1:6" ht="19.5" customHeight="1">
      <c r="A103" s="45" t="s">
        <v>909</v>
      </c>
      <c r="B103" s="16" t="s">
        <v>910</v>
      </c>
      <c r="C103" s="43" t="s">
        <v>95</v>
      </c>
      <c r="D103" s="48">
        <v>299.60000000000002</v>
      </c>
      <c r="E103" s="48">
        <v>323.3</v>
      </c>
      <c r="F103" s="47">
        <f t="shared" ref="F103:F136" si="3">ROUND((D103*E103),0)</f>
        <v>96861</v>
      </c>
    </row>
    <row r="104" spans="1:6" ht="19.5" customHeight="1">
      <c r="A104" s="45" t="s">
        <v>911</v>
      </c>
      <c r="B104" s="16" t="s">
        <v>912</v>
      </c>
      <c r="C104" s="43" t="s">
        <v>95</v>
      </c>
      <c r="D104" s="48">
        <v>0</v>
      </c>
      <c r="E104" s="48">
        <v>0</v>
      </c>
      <c r="F104" s="47">
        <f t="shared" si="3"/>
        <v>0</v>
      </c>
    </row>
    <row r="105" spans="1:6" ht="31.5" customHeight="1">
      <c r="A105" s="42" t="s">
        <v>913</v>
      </c>
      <c r="B105" s="11" t="s">
        <v>914</v>
      </c>
      <c r="C105" s="43" t="s">
        <v>735</v>
      </c>
      <c r="D105" s="48">
        <v>0</v>
      </c>
      <c r="E105" s="48">
        <v>0</v>
      </c>
      <c r="F105" s="47">
        <f t="shared" si="3"/>
        <v>0</v>
      </c>
    </row>
    <row r="106" spans="1:6" ht="19.5" customHeight="1">
      <c r="A106" s="45" t="s">
        <v>915</v>
      </c>
      <c r="B106" s="16" t="s">
        <v>916</v>
      </c>
      <c r="C106" s="43" t="s">
        <v>95</v>
      </c>
      <c r="D106" s="48">
        <v>2932.81</v>
      </c>
      <c r="E106" s="48">
        <v>452.62</v>
      </c>
      <c r="F106" s="47">
        <f t="shared" si="3"/>
        <v>1327448</v>
      </c>
    </row>
    <row r="107" spans="1:6" ht="32.25" customHeight="1">
      <c r="A107" s="45" t="s">
        <v>917</v>
      </c>
      <c r="B107" s="16" t="s">
        <v>918</v>
      </c>
      <c r="C107" s="43" t="s">
        <v>95</v>
      </c>
      <c r="D107" s="48">
        <v>778.59</v>
      </c>
      <c r="E107" s="48">
        <v>459.09</v>
      </c>
      <c r="F107" s="47">
        <f t="shared" si="3"/>
        <v>357443</v>
      </c>
    </row>
    <row r="108" spans="1:6" ht="19.5" customHeight="1">
      <c r="A108" s="42" t="s">
        <v>919</v>
      </c>
      <c r="B108" s="11" t="s">
        <v>920</v>
      </c>
      <c r="C108" s="43" t="s">
        <v>735</v>
      </c>
      <c r="D108" s="48">
        <v>0</v>
      </c>
      <c r="E108" s="48">
        <v>0</v>
      </c>
      <c r="F108" s="47">
        <f t="shared" si="3"/>
        <v>0</v>
      </c>
    </row>
    <row r="109" spans="1:6" ht="19.5" customHeight="1">
      <c r="A109" s="45" t="s">
        <v>921</v>
      </c>
      <c r="B109" s="16" t="s">
        <v>922</v>
      </c>
      <c r="C109" s="43" t="s">
        <v>95</v>
      </c>
      <c r="D109" s="48">
        <v>24</v>
      </c>
      <c r="E109" s="48">
        <v>323.3</v>
      </c>
      <c r="F109" s="47">
        <f t="shared" si="3"/>
        <v>7759</v>
      </c>
    </row>
    <row r="110" spans="1:6" ht="19.5" customHeight="1">
      <c r="A110" s="45" t="s">
        <v>923</v>
      </c>
      <c r="B110" s="16" t="s">
        <v>924</v>
      </c>
      <c r="C110" s="43" t="s">
        <v>95</v>
      </c>
      <c r="D110" s="48">
        <v>0</v>
      </c>
      <c r="E110" s="48"/>
      <c r="F110" s="47">
        <f t="shared" si="3"/>
        <v>0</v>
      </c>
    </row>
    <row r="111" spans="1:6" ht="19.5" customHeight="1">
      <c r="A111" s="42" t="s">
        <v>925</v>
      </c>
      <c r="B111" s="11" t="s">
        <v>926</v>
      </c>
      <c r="C111" s="43" t="s">
        <v>735</v>
      </c>
      <c r="D111" s="48">
        <v>0</v>
      </c>
      <c r="E111" s="48">
        <v>0</v>
      </c>
      <c r="F111" s="47">
        <f t="shared" si="3"/>
        <v>0</v>
      </c>
    </row>
    <row r="112" spans="1:6" ht="19.5" customHeight="1">
      <c r="A112" s="45" t="s">
        <v>927</v>
      </c>
      <c r="B112" s="16" t="s">
        <v>496</v>
      </c>
      <c r="C112" s="43" t="s">
        <v>95</v>
      </c>
      <c r="D112" s="48">
        <v>0</v>
      </c>
      <c r="E112" s="48"/>
      <c r="F112" s="47">
        <f t="shared" si="3"/>
        <v>0</v>
      </c>
    </row>
    <row r="113" spans="1:6" ht="19.5" customHeight="1">
      <c r="A113" s="45" t="s">
        <v>928</v>
      </c>
      <c r="B113" s="16" t="s">
        <v>929</v>
      </c>
      <c r="C113" s="43" t="s">
        <v>95</v>
      </c>
      <c r="D113" s="48">
        <v>1140.4000000000001</v>
      </c>
      <c r="E113" s="48">
        <v>366.41</v>
      </c>
      <c r="F113" s="47">
        <f t="shared" si="3"/>
        <v>417854</v>
      </c>
    </row>
    <row r="114" spans="1:6" ht="19.5" customHeight="1">
      <c r="A114" s="45" t="s">
        <v>930</v>
      </c>
      <c r="B114" s="16" t="s">
        <v>303</v>
      </c>
      <c r="C114" s="43" t="s">
        <v>95</v>
      </c>
      <c r="D114" s="48">
        <v>28</v>
      </c>
      <c r="E114" s="48">
        <v>458.01</v>
      </c>
      <c r="F114" s="47">
        <f t="shared" si="3"/>
        <v>12824</v>
      </c>
    </row>
    <row r="115" spans="1:6" ht="19.5" customHeight="1">
      <c r="A115" s="45" t="s">
        <v>931</v>
      </c>
      <c r="B115" s="16" t="s">
        <v>932</v>
      </c>
      <c r="C115" s="43" t="s">
        <v>95</v>
      </c>
      <c r="D115" s="48">
        <v>24.8</v>
      </c>
      <c r="E115" s="48">
        <v>617.29</v>
      </c>
      <c r="F115" s="47">
        <f t="shared" si="3"/>
        <v>15309</v>
      </c>
    </row>
    <row r="116" spans="1:6" ht="19.5" customHeight="1">
      <c r="A116" s="45" t="s">
        <v>933</v>
      </c>
      <c r="B116" s="16" t="s">
        <v>846</v>
      </c>
      <c r="C116" s="43" t="s">
        <v>164</v>
      </c>
      <c r="D116" s="48">
        <v>2048</v>
      </c>
      <c r="E116" s="48">
        <v>5.71</v>
      </c>
      <c r="F116" s="47">
        <f t="shared" si="3"/>
        <v>11694</v>
      </c>
    </row>
    <row r="117" spans="1:6" ht="19.5" customHeight="1">
      <c r="A117" s="45" t="s">
        <v>934</v>
      </c>
      <c r="B117" s="16" t="s">
        <v>848</v>
      </c>
      <c r="C117" s="43" t="s">
        <v>164</v>
      </c>
      <c r="D117" s="48">
        <v>6832</v>
      </c>
      <c r="E117" s="48">
        <v>5.71</v>
      </c>
      <c r="F117" s="47">
        <f t="shared" si="3"/>
        <v>39011</v>
      </c>
    </row>
    <row r="118" spans="1:6" ht="19.5" customHeight="1">
      <c r="A118" s="45" t="s">
        <v>935</v>
      </c>
      <c r="B118" s="16" t="s">
        <v>924</v>
      </c>
      <c r="C118" s="43" t="s">
        <v>95</v>
      </c>
      <c r="D118" s="48">
        <v>403.6</v>
      </c>
      <c r="E118" s="48">
        <v>105.61</v>
      </c>
      <c r="F118" s="47">
        <f t="shared" si="3"/>
        <v>42624</v>
      </c>
    </row>
    <row r="119" spans="1:6" ht="19.5" customHeight="1">
      <c r="A119" s="45" t="s">
        <v>936</v>
      </c>
      <c r="B119" s="16" t="s">
        <v>937</v>
      </c>
      <c r="C119" s="43" t="s">
        <v>95</v>
      </c>
      <c r="D119" s="48">
        <v>1383.9</v>
      </c>
      <c r="E119" s="48">
        <v>105.61</v>
      </c>
      <c r="F119" s="47">
        <f t="shared" si="3"/>
        <v>146154</v>
      </c>
    </row>
    <row r="120" spans="1:6" ht="31.5" customHeight="1">
      <c r="A120" s="42" t="s">
        <v>938</v>
      </c>
      <c r="B120" s="11" t="s">
        <v>939</v>
      </c>
      <c r="C120" s="43" t="s">
        <v>735</v>
      </c>
      <c r="D120" s="48">
        <v>0</v>
      </c>
      <c r="E120" s="48">
        <v>0</v>
      </c>
      <c r="F120" s="47">
        <f t="shared" si="3"/>
        <v>0</v>
      </c>
    </row>
    <row r="121" spans="1:6" ht="19.5" customHeight="1">
      <c r="A121" s="45" t="s">
        <v>940</v>
      </c>
      <c r="B121" s="16" t="s">
        <v>941</v>
      </c>
      <c r="C121" s="43" t="s">
        <v>140</v>
      </c>
      <c r="D121" s="48">
        <v>0</v>
      </c>
      <c r="E121" s="48">
        <v>0</v>
      </c>
      <c r="F121" s="47">
        <f t="shared" si="3"/>
        <v>0</v>
      </c>
    </row>
    <row r="122" spans="1:6" ht="19.5" customHeight="1">
      <c r="A122" s="42" t="s">
        <v>942</v>
      </c>
      <c r="B122" s="11" t="s">
        <v>943</v>
      </c>
      <c r="C122" s="43" t="s">
        <v>735</v>
      </c>
      <c r="D122" s="48">
        <v>0</v>
      </c>
      <c r="E122" s="48">
        <v>0</v>
      </c>
      <c r="F122" s="47">
        <f t="shared" si="3"/>
        <v>0</v>
      </c>
    </row>
    <row r="123" spans="1:6" ht="29.25" customHeight="1">
      <c r="A123" s="45" t="s">
        <v>944</v>
      </c>
      <c r="B123" s="16" t="s">
        <v>945</v>
      </c>
      <c r="C123" s="43" t="s">
        <v>95</v>
      </c>
      <c r="D123" s="48">
        <v>0</v>
      </c>
      <c r="E123" s="48">
        <v>0</v>
      </c>
      <c r="F123" s="47">
        <f t="shared" si="3"/>
        <v>0</v>
      </c>
    </row>
    <row r="124" spans="1:6" ht="19.5" customHeight="1">
      <c r="A124" s="42" t="s">
        <v>946</v>
      </c>
      <c r="B124" s="11" t="s">
        <v>947</v>
      </c>
      <c r="C124" s="43" t="s">
        <v>735</v>
      </c>
      <c r="D124" s="48">
        <v>0</v>
      </c>
      <c r="E124" s="48">
        <v>0</v>
      </c>
      <c r="F124" s="47">
        <f t="shared" si="3"/>
        <v>0</v>
      </c>
    </row>
    <row r="125" spans="1:6" ht="19.5" customHeight="1">
      <c r="A125" s="45" t="s">
        <v>948</v>
      </c>
      <c r="B125" s="16" t="s">
        <v>497</v>
      </c>
      <c r="C125" s="43" t="s">
        <v>95</v>
      </c>
      <c r="D125" s="48">
        <v>0</v>
      </c>
      <c r="E125" s="48"/>
      <c r="F125" s="47">
        <f t="shared" si="3"/>
        <v>0</v>
      </c>
    </row>
    <row r="126" spans="1:6" ht="19.5" customHeight="1">
      <c r="A126" s="45" t="s">
        <v>949</v>
      </c>
      <c r="B126" s="16" t="s">
        <v>303</v>
      </c>
      <c r="C126" s="43" t="s">
        <v>95</v>
      </c>
      <c r="D126" s="48">
        <v>0</v>
      </c>
      <c r="E126" s="48"/>
      <c r="F126" s="47">
        <f t="shared" si="3"/>
        <v>0</v>
      </c>
    </row>
    <row r="127" spans="1:6" ht="19.5" customHeight="1">
      <c r="A127" s="45" t="s">
        <v>950</v>
      </c>
      <c r="B127" s="16" t="s">
        <v>951</v>
      </c>
      <c r="C127" s="43" t="s">
        <v>164</v>
      </c>
      <c r="D127" s="48">
        <v>0</v>
      </c>
      <c r="E127" s="48"/>
      <c r="F127" s="47">
        <f t="shared" si="3"/>
        <v>0</v>
      </c>
    </row>
    <row r="128" spans="1:6" ht="19.5" customHeight="1">
      <c r="A128" s="45" t="s">
        <v>952</v>
      </c>
      <c r="B128" s="16" t="s">
        <v>953</v>
      </c>
      <c r="C128" s="43" t="s">
        <v>164</v>
      </c>
      <c r="D128" s="48">
        <v>0</v>
      </c>
      <c r="E128" s="48"/>
      <c r="F128" s="47">
        <f t="shared" si="3"/>
        <v>0</v>
      </c>
    </row>
    <row r="129" spans="1:6" ht="19.5" customHeight="1">
      <c r="A129" s="45" t="s">
        <v>954</v>
      </c>
      <c r="B129" s="16" t="s">
        <v>955</v>
      </c>
      <c r="C129" s="43" t="s">
        <v>164</v>
      </c>
      <c r="D129" s="48">
        <v>0</v>
      </c>
      <c r="E129" s="48"/>
      <c r="F129" s="47">
        <f t="shared" si="3"/>
        <v>0</v>
      </c>
    </row>
    <row r="130" spans="1:6" ht="19.5" customHeight="1">
      <c r="A130" s="45" t="s">
        <v>956</v>
      </c>
      <c r="B130" s="16" t="s">
        <v>957</v>
      </c>
      <c r="C130" s="43" t="s">
        <v>164</v>
      </c>
      <c r="D130" s="48">
        <v>0</v>
      </c>
      <c r="E130" s="48"/>
      <c r="F130" s="47">
        <f t="shared" si="3"/>
        <v>0</v>
      </c>
    </row>
    <row r="131" spans="1:6" ht="19.5" customHeight="1">
      <c r="A131" s="45" t="s">
        <v>958</v>
      </c>
      <c r="B131" s="16" t="s">
        <v>959</v>
      </c>
      <c r="C131" s="43" t="s">
        <v>164</v>
      </c>
      <c r="D131" s="48">
        <v>0</v>
      </c>
      <c r="E131" s="48"/>
      <c r="F131" s="47">
        <f t="shared" si="3"/>
        <v>0</v>
      </c>
    </row>
    <row r="132" spans="1:6" ht="19.5" customHeight="1">
      <c r="A132" s="42" t="s">
        <v>960</v>
      </c>
      <c r="B132" s="11" t="s">
        <v>961</v>
      </c>
      <c r="C132" s="43" t="s">
        <v>735</v>
      </c>
      <c r="D132" s="48">
        <v>0</v>
      </c>
      <c r="E132" s="48"/>
      <c r="F132" s="47">
        <f t="shared" si="3"/>
        <v>0</v>
      </c>
    </row>
    <row r="133" spans="1:6" ht="30" customHeight="1">
      <c r="A133" s="45" t="s">
        <v>962</v>
      </c>
      <c r="B133" s="16" t="s">
        <v>963</v>
      </c>
      <c r="C133" s="43" t="s">
        <v>113</v>
      </c>
      <c r="D133" s="48">
        <v>0</v>
      </c>
      <c r="E133" s="48"/>
      <c r="F133" s="47">
        <f t="shared" si="3"/>
        <v>0</v>
      </c>
    </row>
    <row r="134" spans="1:6" ht="19.5" customHeight="1">
      <c r="A134" s="61" t="s">
        <v>964</v>
      </c>
      <c r="B134" s="62" t="s">
        <v>965</v>
      </c>
      <c r="C134" s="43" t="s">
        <v>113</v>
      </c>
      <c r="D134" s="48">
        <v>0</v>
      </c>
      <c r="E134" s="48"/>
      <c r="F134" s="47">
        <f t="shared" si="3"/>
        <v>0</v>
      </c>
    </row>
    <row r="135" spans="1:6" ht="19.5" customHeight="1">
      <c r="A135" s="42" t="s">
        <v>966</v>
      </c>
      <c r="B135" s="11" t="s">
        <v>967</v>
      </c>
      <c r="C135" s="43" t="s">
        <v>735</v>
      </c>
      <c r="D135" s="43">
        <v>0</v>
      </c>
      <c r="E135" s="43">
        <v>0</v>
      </c>
      <c r="F135" s="47">
        <f t="shared" si="3"/>
        <v>0</v>
      </c>
    </row>
    <row r="136" spans="1:6" ht="19.5" customHeight="1">
      <c r="A136" s="45" t="s">
        <v>968</v>
      </c>
      <c r="B136" s="16" t="s">
        <v>969</v>
      </c>
      <c r="C136" s="43" t="s">
        <v>140</v>
      </c>
      <c r="D136" s="43">
        <v>0</v>
      </c>
      <c r="E136" s="43">
        <v>0</v>
      </c>
      <c r="F136" s="47">
        <f t="shared" si="3"/>
        <v>0</v>
      </c>
    </row>
    <row r="137" spans="1:6" ht="19.5" customHeight="1">
      <c r="A137" s="486" t="s">
        <v>970</v>
      </c>
      <c r="B137" s="487"/>
      <c r="C137" s="488"/>
      <c r="D137" s="63"/>
      <c r="E137" s="63"/>
      <c r="F137" s="64">
        <f>SUM(F6:F136)</f>
        <v>38274277</v>
      </c>
    </row>
    <row r="138" spans="1:6" ht="30.9" customHeight="1">
      <c r="A138" s="57"/>
      <c r="C138" s="57"/>
      <c r="D138" s="57"/>
      <c r="E138" s="57"/>
      <c r="F138" s="57">
        <f>F137+'400章'!F142+'500章'!F168</f>
        <v>949156790</v>
      </c>
    </row>
    <row r="139" spans="1:6" ht="14.4">
      <c r="A139" s="57"/>
      <c r="C139" s="57"/>
      <c r="D139" s="57"/>
      <c r="E139" s="57"/>
      <c r="F139" s="57"/>
    </row>
    <row r="140" spans="1:6" ht="14.4">
      <c r="A140" s="57"/>
      <c r="C140" s="57"/>
      <c r="D140" s="57"/>
      <c r="E140" s="57"/>
      <c r="F140" s="57"/>
    </row>
  </sheetData>
  <autoFilter ref="A4:F138" xr:uid="{00000000-0009-0000-0000-000018000000}"/>
  <mergeCells count="2">
    <mergeCell ref="A1:F1"/>
    <mergeCell ref="A137:C137"/>
  </mergeCells>
  <phoneticPr fontId="98" type="noConversion"/>
  <conditionalFormatting sqref="A1:XFD4">
    <cfRule type="cellIs" dxfId="1" priority="1" operator="equal">
      <formula>0</formula>
    </cfRule>
  </conditionalFormatting>
  <pageMargins left="0.70902777777777803" right="0.70902777777777803" top="0.75" bottom="0.75" header="0.30902777777777801" footer="0.30902777777777801"/>
  <pageSetup paperSize="9" orientation="portrait" r:id="rId1"/>
  <headerFooter alignWithMargins="0">
    <oddFooter>&amp;C第 &amp;P 页</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146"/>
  <sheetViews>
    <sheetView showZeros="0" view="pageBreakPreview" topLeftCell="A130" zoomScaleNormal="100" workbookViewId="0">
      <selection activeCell="E37" sqref="E37"/>
    </sheetView>
  </sheetViews>
  <sheetFormatPr defaultColWidth="9.109375" defaultRowHeight="13.2"/>
  <cols>
    <col min="1" max="1" width="12.6640625" customWidth="1"/>
    <col min="2" max="2" width="27.88671875" customWidth="1"/>
    <col min="3" max="3" width="6.6640625" customWidth="1"/>
    <col min="4" max="4" width="12.88671875" customWidth="1"/>
    <col min="5" max="5" width="11.33203125" customWidth="1"/>
    <col min="6" max="6" width="15.6640625" customWidth="1"/>
  </cols>
  <sheetData>
    <row r="1" spans="1:6" ht="30" customHeight="1">
      <c r="A1" s="484" t="s">
        <v>730</v>
      </c>
      <c r="B1" s="484"/>
      <c r="C1" s="484"/>
      <c r="D1" s="484"/>
      <c r="E1" s="484"/>
      <c r="F1" s="485"/>
    </row>
    <row r="2" spans="1:6" ht="20.100000000000001" customHeight="1">
      <c r="A2" s="32" t="s">
        <v>731</v>
      </c>
      <c r="B2" s="33"/>
      <c r="D2" s="34"/>
      <c r="E2" s="34"/>
      <c r="F2" s="35"/>
    </row>
    <row r="3" spans="1:6" ht="20.100000000000001" customHeight="1">
      <c r="A3" s="36" t="s">
        <v>971</v>
      </c>
      <c r="B3" s="36"/>
      <c r="C3" s="36"/>
      <c r="D3" s="36"/>
      <c r="E3" s="36"/>
      <c r="F3" s="37" t="s">
        <v>2</v>
      </c>
    </row>
    <row r="4" spans="1:6" ht="20.100000000000001" customHeight="1">
      <c r="A4" s="38" t="s">
        <v>56</v>
      </c>
      <c r="B4" s="39" t="s">
        <v>57</v>
      </c>
      <c r="C4" s="38" t="s">
        <v>58</v>
      </c>
      <c r="D4" s="38" t="s">
        <v>59</v>
      </c>
      <c r="E4" s="40" t="s">
        <v>456</v>
      </c>
      <c r="F4" s="41" t="s">
        <v>616</v>
      </c>
    </row>
    <row r="5" spans="1:6" ht="19.5" customHeight="1">
      <c r="A5" s="42" t="s">
        <v>972</v>
      </c>
      <c r="B5" s="11" t="s">
        <v>973</v>
      </c>
      <c r="C5" s="43" t="s">
        <v>735</v>
      </c>
      <c r="D5" s="43"/>
      <c r="E5" s="43"/>
      <c r="F5" s="44"/>
    </row>
    <row r="6" spans="1:6" ht="19.5" customHeight="1">
      <c r="A6" s="45" t="s">
        <v>974</v>
      </c>
      <c r="B6" s="16" t="s">
        <v>973</v>
      </c>
      <c r="C6" s="43" t="s">
        <v>65</v>
      </c>
      <c r="D6" s="43">
        <v>0</v>
      </c>
      <c r="E6" s="43"/>
      <c r="F6" s="44"/>
    </row>
    <row r="7" spans="1:6" ht="19.5" customHeight="1">
      <c r="A7" s="42" t="s">
        <v>975</v>
      </c>
      <c r="B7" s="11" t="s">
        <v>976</v>
      </c>
      <c r="C7" s="43" t="s">
        <v>735</v>
      </c>
      <c r="D7" s="43">
        <v>0</v>
      </c>
      <c r="E7" s="43"/>
      <c r="F7" s="44"/>
    </row>
    <row r="8" spans="1:6" ht="19.5" customHeight="1">
      <c r="A8" s="45" t="s">
        <v>977</v>
      </c>
      <c r="B8" s="16" t="s">
        <v>976</v>
      </c>
      <c r="C8" s="43" t="s">
        <v>65</v>
      </c>
      <c r="D8" s="43">
        <v>0</v>
      </c>
      <c r="E8" s="43"/>
      <c r="F8" s="46"/>
    </row>
    <row r="9" spans="1:6" ht="29.1" customHeight="1">
      <c r="A9" s="42" t="s">
        <v>978</v>
      </c>
      <c r="B9" s="11" t="s">
        <v>979</v>
      </c>
      <c r="C9" s="43" t="s">
        <v>735</v>
      </c>
      <c r="D9" s="43">
        <v>0</v>
      </c>
      <c r="E9" s="43"/>
      <c r="F9" s="46"/>
    </row>
    <row r="10" spans="1:6" ht="28.5" customHeight="1">
      <c r="A10" s="45" t="s">
        <v>980</v>
      </c>
      <c r="B10" s="16" t="s">
        <v>951</v>
      </c>
      <c r="C10" s="43" t="s">
        <v>164</v>
      </c>
      <c r="D10" s="43">
        <v>79051</v>
      </c>
      <c r="E10" s="43">
        <v>7.22</v>
      </c>
      <c r="F10" s="47">
        <f>ROUND((D10*E10),0)</f>
        <v>570748</v>
      </c>
    </row>
    <row r="11" spans="1:6" ht="19.5" customHeight="1">
      <c r="A11" s="45" t="s">
        <v>981</v>
      </c>
      <c r="B11" s="16" t="s">
        <v>953</v>
      </c>
      <c r="C11" s="43" t="s">
        <v>164</v>
      </c>
      <c r="D11" s="43">
        <v>837221</v>
      </c>
      <c r="E11" s="43">
        <v>7.33</v>
      </c>
      <c r="F11" s="47">
        <f t="shared" ref="F11:F42" si="0">ROUND((D11*E11),0)</f>
        <v>6136830</v>
      </c>
    </row>
    <row r="12" spans="1:6" ht="19.5" customHeight="1">
      <c r="A12" s="45" t="s">
        <v>982</v>
      </c>
      <c r="B12" s="16" t="s">
        <v>983</v>
      </c>
      <c r="C12" s="43" t="s">
        <v>164</v>
      </c>
      <c r="D12" s="43">
        <v>7454.2</v>
      </c>
      <c r="E12" s="43">
        <v>7.33</v>
      </c>
      <c r="F12" s="47">
        <f t="shared" si="0"/>
        <v>54639</v>
      </c>
    </row>
    <row r="13" spans="1:6" ht="19.5" customHeight="1">
      <c r="A13" s="42" t="s">
        <v>984</v>
      </c>
      <c r="B13" s="11" t="s">
        <v>985</v>
      </c>
      <c r="C13" s="43" t="s">
        <v>735</v>
      </c>
      <c r="D13" s="43">
        <v>0</v>
      </c>
      <c r="E13" s="43">
        <v>0</v>
      </c>
      <c r="F13" s="47">
        <f t="shared" si="0"/>
        <v>0</v>
      </c>
    </row>
    <row r="14" spans="1:6" ht="19.5" customHeight="1">
      <c r="A14" s="45" t="s">
        <v>986</v>
      </c>
      <c r="B14" s="16" t="s">
        <v>951</v>
      </c>
      <c r="C14" s="43" t="s">
        <v>164</v>
      </c>
      <c r="D14" s="43">
        <v>23660.2</v>
      </c>
      <c r="E14" s="43">
        <v>7.22</v>
      </c>
      <c r="F14" s="47">
        <f t="shared" si="0"/>
        <v>170827</v>
      </c>
    </row>
    <row r="15" spans="1:6" ht="19.5" customHeight="1">
      <c r="A15" s="45" t="s">
        <v>987</v>
      </c>
      <c r="B15" s="16" t="s">
        <v>953</v>
      </c>
      <c r="C15" s="43" t="s">
        <v>164</v>
      </c>
      <c r="D15" s="43">
        <v>782561.4</v>
      </c>
      <c r="E15" s="48">
        <v>7.33</v>
      </c>
      <c r="F15" s="47">
        <f t="shared" si="0"/>
        <v>5736175</v>
      </c>
    </row>
    <row r="16" spans="1:6" ht="19.5" customHeight="1">
      <c r="A16" s="45" t="s">
        <v>988</v>
      </c>
      <c r="B16" s="16" t="s">
        <v>989</v>
      </c>
      <c r="C16" s="43" t="s">
        <v>164</v>
      </c>
      <c r="D16" s="43">
        <v>27676.799999999999</v>
      </c>
      <c r="E16" s="48">
        <v>7.33</v>
      </c>
      <c r="F16" s="47">
        <f t="shared" si="0"/>
        <v>202871</v>
      </c>
    </row>
    <row r="17" spans="1:6" ht="19.5" customHeight="1">
      <c r="A17" s="42" t="s">
        <v>990</v>
      </c>
      <c r="B17" s="11" t="s">
        <v>991</v>
      </c>
      <c r="C17" s="43" t="s">
        <v>735</v>
      </c>
      <c r="D17" s="43">
        <v>0</v>
      </c>
      <c r="E17" s="48">
        <v>0</v>
      </c>
      <c r="F17" s="47">
        <f t="shared" si="0"/>
        <v>0</v>
      </c>
    </row>
    <row r="18" spans="1:6" ht="19.5" customHeight="1">
      <c r="A18" s="45" t="s">
        <v>992</v>
      </c>
      <c r="B18" s="16" t="s">
        <v>951</v>
      </c>
      <c r="C18" s="43" t="s">
        <v>164</v>
      </c>
      <c r="D18" s="43">
        <v>0</v>
      </c>
      <c r="E18" s="48">
        <v>7.33</v>
      </c>
      <c r="F18" s="47">
        <f t="shared" si="0"/>
        <v>0</v>
      </c>
    </row>
    <row r="19" spans="1:6" ht="19.5" customHeight="1">
      <c r="A19" s="45" t="s">
        <v>993</v>
      </c>
      <c r="B19" s="16" t="s">
        <v>953</v>
      </c>
      <c r="C19" s="43" t="s">
        <v>164</v>
      </c>
      <c r="D19" s="43">
        <v>2132579.6</v>
      </c>
      <c r="E19" s="48">
        <v>7.44</v>
      </c>
      <c r="F19" s="47">
        <f t="shared" si="0"/>
        <v>15866392</v>
      </c>
    </row>
    <row r="20" spans="1:6" ht="19.5" customHeight="1">
      <c r="A20" s="45" t="s">
        <v>994</v>
      </c>
      <c r="B20" s="16" t="s">
        <v>475</v>
      </c>
      <c r="C20" s="43" t="s">
        <v>164</v>
      </c>
      <c r="D20" s="43">
        <v>268310.5</v>
      </c>
      <c r="E20" s="48">
        <v>7.54</v>
      </c>
      <c r="F20" s="47">
        <f t="shared" si="0"/>
        <v>2023061</v>
      </c>
    </row>
    <row r="21" spans="1:6" ht="19.5" customHeight="1">
      <c r="A21" s="45" t="s">
        <v>995</v>
      </c>
      <c r="B21" s="16" t="s">
        <v>476</v>
      </c>
      <c r="C21" s="43" t="s">
        <v>164</v>
      </c>
      <c r="D21" s="43">
        <v>0</v>
      </c>
      <c r="E21" s="48">
        <v>0</v>
      </c>
      <c r="F21" s="47">
        <f t="shared" si="0"/>
        <v>0</v>
      </c>
    </row>
    <row r="22" spans="1:6" ht="27" customHeight="1">
      <c r="A22" s="42" t="s">
        <v>996</v>
      </c>
      <c r="B22" s="11" t="s">
        <v>997</v>
      </c>
      <c r="C22" s="43" t="s">
        <v>735</v>
      </c>
      <c r="D22" s="43">
        <v>0</v>
      </c>
      <c r="E22" s="48">
        <v>0</v>
      </c>
      <c r="F22" s="47">
        <f t="shared" si="0"/>
        <v>0</v>
      </c>
    </row>
    <row r="23" spans="1:6" ht="30.75" customHeight="1">
      <c r="A23" s="45" t="s">
        <v>998</v>
      </c>
      <c r="B23" s="16" t="s">
        <v>951</v>
      </c>
      <c r="C23" s="43" t="s">
        <v>164</v>
      </c>
      <c r="D23" s="43">
        <v>33561.800000000003</v>
      </c>
      <c r="E23" s="48">
        <v>7.33</v>
      </c>
      <c r="F23" s="47">
        <f t="shared" si="0"/>
        <v>246008</v>
      </c>
    </row>
    <row r="24" spans="1:6" ht="19.5" customHeight="1">
      <c r="A24" s="45" t="s">
        <v>999</v>
      </c>
      <c r="B24" s="16" t="s">
        <v>953</v>
      </c>
      <c r="C24" s="43" t="s">
        <v>164</v>
      </c>
      <c r="D24" s="43">
        <v>202102.5</v>
      </c>
      <c r="E24" s="48">
        <v>7.46</v>
      </c>
      <c r="F24" s="47">
        <f t="shared" si="0"/>
        <v>1507685</v>
      </c>
    </row>
    <row r="25" spans="1:6" ht="19.5" customHeight="1">
      <c r="A25" s="45" t="s">
        <v>1000</v>
      </c>
      <c r="B25" s="16" t="s">
        <v>1001</v>
      </c>
      <c r="C25" s="43" t="s">
        <v>113</v>
      </c>
      <c r="D25" s="43">
        <v>0</v>
      </c>
      <c r="E25" s="48">
        <v>0</v>
      </c>
      <c r="F25" s="47">
        <f t="shared" si="0"/>
        <v>0</v>
      </c>
    </row>
    <row r="26" spans="1:6" ht="19.5" customHeight="1">
      <c r="A26" s="45" t="s">
        <v>1002</v>
      </c>
      <c r="B26" s="16" t="s">
        <v>1003</v>
      </c>
      <c r="C26" s="43" t="s">
        <v>164</v>
      </c>
      <c r="D26" s="43">
        <v>0</v>
      </c>
      <c r="E26" s="48">
        <v>0</v>
      </c>
      <c r="F26" s="47">
        <f t="shared" si="0"/>
        <v>0</v>
      </c>
    </row>
    <row r="27" spans="1:6" ht="26.1" customHeight="1">
      <c r="A27" s="45" t="s">
        <v>1004</v>
      </c>
      <c r="B27" s="16" t="s">
        <v>1005</v>
      </c>
      <c r="C27" s="43" t="s">
        <v>164</v>
      </c>
      <c r="D27" s="43">
        <v>4599.7</v>
      </c>
      <c r="E27" s="48">
        <v>7.46</v>
      </c>
      <c r="F27" s="47">
        <f t="shared" si="0"/>
        <v>34314</v>
      </c>
    </row>
    <row r="28" spans="1:6" ht="18.899999999999999" customHeight="1">
      <c r="A28" s="42" t="s">
        <v>1006</v>
      </c>
      <c r="B28" s="11" t="s">
        <v>1007</v>
      </c>
      <c r="C28" s="43" t="s">
        <v>735</v>
      </c>
      <c r="D28" s="43">
        <v>0</v>
      </c>
      <c r="E28" s="48">
        <v>0</v>
      </c>
      <c r="F28" s="47">
        <f t="shared" si="0"/>
        <v>0</v>
      </c>
    </row>
    <row r="29" spans="1:6" ht="19.5" customHeight="1">
      <c r="A29" s="45" t="s">
        <v>1008</v>
      </c>
      <c r="B29" s="16" t="s">
        <v>1007</v>
      </c>
      <c r="C29" s="43" t="s">
        <v>95</v>
      </c>
      <c r="D29" s="43">
        <v>1048.4000000000001</v>
      </c>
      <c r="E29" s="48">
        <v>19.72</v>
      </c>
      <c r="F29" s="47">
        <f t="shared" si="0"/>
        <v>20674</v>
      </c>
    </row>
    <row r="30" spans="1:6" ht="19.5" customHeight="1">
      <c r="A30" s="42" t="s">
        <v>1009</v>
      </c>
      <c r="B30" s="11" t="s">
        <v>1010</v>
      </c>
      <c r="C30" s="43" t="s">
        <v>735</v>
      </c>
      <c r="D30" s="43">
        <v>0</v>
      </c>
      <c r="E30" s="48">
        <v>0</v>
      </c>
      <c r="F30" s="47">
        <f t="shared" si="0"/>
        <v>0</v>
      </c>
    </row>
    <row r="31" spans="1:6" ht="19.5" customHeight="1">
      <c r="A31" s="45" t="s">
        <v>1011</v>
      </c>
      <c r="B31" s="16" t="s">
        <v>1012</v>
      </c>
      <c r="C31" s="43" t="s">
        <v>140</v>
      </c>
      <c r="D31" s="43">
        <v>0</v>
      </c>
      <c r="E31" s="48">
        <v>0</v>
      </c>
      <c r="F31" s="47">
        <f t="shared" si="0"/>
        <v>0</v>
      </c>
    </row>
    <row r="32" spans="1:6" ht="19.5" customHeight="1">
      <c r="A32" s="45" t="s">
        <v>1013</v>
      </c>
      <c r="B32" s="16" t="s">
        <v>1014</v>
      </c>
      <c r="C32" s="43" t="s">
        <v>140</v>
      </c>
      <c r="D32" s="43">
        <v>1658</v>
      </c>
      <c r="E32" s="48">
        <v>2791.17</v>
      </c>
      <c r="F32" s="47">
        <f t="shared" si="0"/>
        <v>4627760</v>
      </c>
    </row>
    <row r="33" spans="1:6" ht="19.5" customHeight="1">
      <c r="A33" s="45" t="s">
        <v>1015</v>
      </c>
      <c r="B33" s="16" t="s">
        <v>1016</v>
      </c>
      <c r="C33" s="43" t="s">
        <v>140</v>
      </c>
      <c r="D33" s="43">
        <v>0</v>
      </c>
      <c r="E33" s="48">
        <v>0</v>
      </c>
      <c r="F33" s="47">
        <f t="shared" si="0"/>
        <v>0</v>
      </c>
    </row>
    <row r="34" spans="1:6" ht="19.5" customHeight="1">
      <c r="A34" s="45" t="s">
        <v>1017</v>
      </c>
      <c r="B34" s="16" t="s">
        <v>1018</v>
      </c>
      <c r="C34" s="43" t="s">
        <v>140</v>
      </c>
      <c r="D34" s="43">
        <v>364</v>
      </c>
      <c r="E34" s="48">
        <v>3551.35</v>
      </c>
      <c r="F34" s="47">
        <f t="shared" si="0"/>
        <v>1292691</v>
      </c>
    </row>
    <row r="35" spans="1:6" ht="19.5" customHeight="1">
      <c r="A35" s="45" t="s">
        <v>1019</v>
      </c>
      <c r="B35" s="16" t="s">
        <v>1020</v>
      </c>
      <c r="C35" s="43" t="s">
        <v>140</v>
      </c>
      <c r="D35" s="49">
        <v>1367</v>
      </c>
      <c r="E35" s="48">
        <v>5054.2700000000004</v>
      </c>
      <c r="F35" s="47">
        <f t="shared" si="0"/>
        <v>6909187</v>
      </c>
    </row>
    <row r="36" spans="1:6" ht="19.5" customHeight="1">
      <c r="A36" s="45" t="s">
        <v>1021</v>
      </c>
      <c r="B36" s="16" t="s">
        <v>1022</v>
      </c>
      <c r="C36" s="43" t="s">
        <v>140</v>
      </c>
      <c r="D36" s="43">
        <v>0</v>
      </c>
      <c r="E36" s="48">
        <v>0</v>
      </c>
      <c r="F36" s="47">
        <f t="shared" si="0"/>
        <v>0</v>
      </c>
    </row>
    <row r="37" spans="1:6" ht="19.5" customHeight="1">
      <c r="A37" s="45" t="s">
        <v>1023</v>
      </c>
      <c r="B37" s="16" t="s">
        <v>1024</v>
      </c>
      <c r="C37" s="43" t="s">
        <v>140</v>
      </c>
      <c r="D37" s="43">
        <v>508.6</v>
      </c>
      <c r="E37" s="48">
        <v>5473.49</v>
      </c>
      <c r="F37" s="47">
        <f t="shared" si="0"/>
        <v>2783817</v>
      </c>
    </row>
    <row r="38" spans="1:6" ht="19.5" customHeight="1">
      <c r="A38" s="42" t="s">
        <v>1025</v>
      </c>
      <c r="B38" s="11" t="s">
        <v>1026</v>
      </c>
      <c r="C38" s="43" t="s">
        <v>735</v>
      </c>
      <c r="D38" s="48">
        <v>0</v>
      </c>
      <c r="E38" s="48">
        <v>0</v>
      </c>
      <c r="F38" s="47">
        <f t="shared" si="0"/>
        <v>0</v>
      </c>
    </row>
    <row r="39" spans="1:6" ht="19.5" customHeight="1">
      <c r="A39" s="45" t="s">
        <v>1027</v>
      </c>
      <c r="B39" s="16" t="s">
        <v>1018</v>
      </c>
      <c r="C39" s="43" t="s">
        <v>140</v>
      </c>
      <c r="D39" s="48">
        <v>0</v>
      </c>
      <c r="E39" s="48">
        <v>0</v>
      </c>
      <c r="F39" s="47">
        <f t="shared" si="0"/>
        <v>0</v>
      </c>
    </row>
    <row r="40" spans="1:6" ht="19.5" customHeight="1">
      <c r="A40" s="50" t="s">
        <v>1028</v>
      </c>
      <c r="B40" s="51" t="s">
        <v>1020</v>
      </c>
      <c r="C40" s="52" t="s">
        <v>140</v>
      </c>
      <c r="D40" s="48">
        <v>0</v>
      </c>
      <c r="E40" s="48">
        <v>0</v>
      </c>
      <c r="F40" s="47">
        <f t="shared" si="0"/>
        <v>0</v>
      </c>
    </row>
    <row r="41" spans="1:6" ht="42" customHeight="1">
      <c r="A41" s="42" t="s">
        <v>1029</v>
      </c>
      <c r="B41" s="11" t="s">
        <v>1030</v>
      </c>
      <c r="C41" s="43" t="s">
        <v>735</v>
      </c>
      <c r="D41" s="48">
        <v>0</v>
      </c>
      <c r="E41" s="48">
        <v>0</v>
      </c>
      <c r="F41" s="47">
        <f t="shared" si="0"/>
        <v>0</v>
      </c>
    </row>
    <row r="42" spans="1:6" ht="18.899999999999999" customHeight="1">
      <c r="A42" s="45" t="s">
        <v>1031</v>
      </c>
      <c r="B42" s="16" t="s">
        <v>1032</v>
      </c>
      <c r="C42" s="43" t="s">
        <v>95</v>
      </c>
      <c r="D42" s="48">
        <v>0</v>
      </c>
      <c r="E42" s="48">
        <v>0</v>
      </c>
      <c r="F42" s="47">
        <f t="shared" si="0"/>
        <v>0</v>
      </c>
    </row>
    <row r="43" spans="1:6" ht="19.5" customHeight="1">
      <c r="A43" s="45" t="s">
        <v>1033</v>
      </c>
      <c r="B43" s="16" t="s">
        <v>1034</v>
      </c>
      <c r="C43" s="43" t="s">
        <v>95</v>
      </c>
      <c r="D43" s="43">
        <v>0</v>
      </c>
      <c r="E43" s="48">
        <v>0</v>
      </c>
      <c r="F43" s="47">
        <f t="shared" ref="F43:F74" si="1">ROUND((D43*E43),0)</f>
        <v>0</v>
      </c>
    </row>
    <row r="44" spans="1:6" ht="19.5" customHeight="1">
      <c r="A44" s="45" t="s">
        <v>1035</v>
      </c>
      <c r="B44" s="16" t="s">
        <v>1036</v>
      </c>
      <c r="C44" s="43" t="s">
        <v>95</v>
      </c>
      <c r="D44" s="43">
        <v>458.36151999999998</v>
      </c>
      <c r="E44" s="48">
        <v>637.29</v>
      </c>
      <c r="F44" s="47">
        <f t="shared" si="1"/>
        <v>292109</v>
      </c>
    </row>
    <row r="45" spans="1:6" ht="19.5" customHeight="1">
      <c r="A45" s="45" t="s">
        <v>1037</v>
      </c>
      <c r="B45" s="16" t="s">
        <v>1038</v>
      </c>
      <c r="C45" s="43" t="s">
        <v>95</v>
      </c>
      <c r="D45" s="43">
        <v>1916.8</v>
      </c>
      <c r="E45" s="48">
        <v>637.29</v>
      </c>
      <c r="F45" s="47">
        <f t="shared" si="1"/>
        <v>1221557</v>
      </c>
    </row>
    <row r="46" spans="1:6" ht="19.5" customHeight="1">
      <c r="A46" s="42" t="s">
        <v>1039</v>
      </c>
      <c r="B46" s="11" t="s">
        <v>1040</v>
      </c>
      <c r="C46" s="43" t="s">
        <v>735</v>
      </c>
      <c r="D46" s="43">
        <v>0</v>
      </c>
      <c r="E46" s="48">
        <v>0</v>
      </c>
      <c r="F46" s="47">
        <f t="shared" si="1"/>
        <v>0</v>
      </c>
    </row>
    <row r="47" spans="1:6" ht="19.5" customHeight="1">
      <c r="A47" s="45" t="s">
        <v>1041</v>
      </c>
      <c r="B47" s="16" t="s">
        <v>1042</v>
      </c>
      <c r="C47" s="43" t="s">
        <v>95</v>
      </c>
      <c r="D47" s="43">
        <v>0</v>
      </c>
      <c r="E47" s="48">
        <v>0</v>
      </c>
      <c r="F47" s="47">
        <f t="shared" si="1"/>
        <v>0</v>
      </c>
    </row>
    <row r="48" spans="1:6" ht="19.5" customHeight="1">
      <c r="A48" s="45" t="s">
        <v>1043</v>
      </c>
      <c r="B48" s="16" t="s">
        <v>1044</v>
      </c>
      <c r="C48" s="43" t="s">
        <v>95</v>
      </c>
      <c r="D48" s="43">
        <v>0</v>
      </c>
      <c r="E48" s="48">
        <v>0</v>
      </c>
      <c r="F48" s="47">
        <f t="shared" si="1"/>
        <v>0</v>
      </c>
    </row>
    <row r="49" spans="1:6" ht="19.5" customHeight="1">
      <c r="A49" s="45" t="s">
        <v>1045</v>
      </c>
      <c r="B49" s="16" t="s">
        <v>1046</v>
      </c>
      <c r="C49" s="43" t="s">
        <v>95</v>
      </c>
      <c r="D49" s="48">
        <v>0</v>
      </c>
      <c r="E49" s="48">
        <v>0</v>
      </c>
      <c r="F49" s="47">
        <f t="shared" si="1"/>
        <v>0</v>
      </c>
    </row>
    <row r="50" spans="1:6" ht="19.5" customHeight="1">
      <c r="A50" s="45" t="s">
        <v>1047</v>
      </c>
      <c r="B50" s="16" t="s">
        <v>1048</v>
      </c>
      <c r="C50" s="43" t="s">
        <v>95</v>
      </c>
      <c r="D50" s="43">
        <v>1955.9</v>
      </c>
      <c r="E50" s="48">
        <v>771.48</v>
      </c>
      <c r="F50" s="47">
        <f t="shared" si="1"/>
        <v>1508938</v>
      </c>
    </row>
    <row r="51" spans="1:6" ht="19.5" customHeight="1">
      <c r="A51" s="45" t="s">
        <v>1049</v>
      </c>
      <c r="B51" s="16" t="s">
        <v>1050</v>
      </c>
      <c r="C51" s="43" t="s">
        <v>95</v>
      </c>
      <c r="D51" s="43">
        <v>0</v>
      </c>
      <c r="E51" s="48">
        <v>0</v>
      </c>
      <c r="F51" s="47">
        <f t="shared" si="1"/>
        <v>0</v>
      </c>
    </row>
    <row r="52" spans="1:6" ht="19.5" customHeight="1">
      <c r="A52" s="45" t="s">
        <v>1051</v>
      </c>
      <c r="B52" s="16" t="s">
        <v>1052</v>
      </c>
      <c r="C52" s="43" t="s">
        <v>95</v>
      </c>
      <c r="D52" s="48">
        <v>0</v>
      </c>
      <c r="E52" s="48">
        <v>0</v>
      </c>
      <c r="F52" s="47">
        <f t="shared" si="1"/>
        <v>0</v>
      </c>
    </row>
    <row r="53" spans="1:6" ht="19.5" customHeight="1">
      <c r="A53" s="45" t="s">
        <v>1053</v>
      </c>
      <c r="B53" s="16" t="s">
        <v>1054</v>
      </c>
      <c r="C53" s="43" t="s">
        <v>95</v>
      </c>
      <c r="D53" s="43">
        <v>0</v>
      </c>
      <c r="E53" s="48">
        <v>0</v>
      </c>
      <c r="F53" s="47">
        <f t="shared" si="1"/>
        <v>0</v>
      </c>
    </row>
    <row r="54" spans="1:6" ht="19.5" customHeight="1">
      <c r="A54" s="45" t="s">
        <v>1055</v>
      </c>
      <c r="B54" s="16" t="s">
        <v>1056</v>
      </c>
      <c r="C54" s="43" t="s">
        <v>95</v>
      </c>
      <c r="D54" s="48">
        <v>0</v>
      </c>
      <c r="E54" s="48">
        <v>0</v>
      </c>
      <c r="F54" s="47">
        <f t="shared" si="1"/>
        <v>0</v>
      </c>
    </row>
    <row r="55" spans="1:6" ht="19.5" customHeight="1">
      <c r="A55" s="45" t="s">
        <v>1057</v>
      </c>
      <c r="B55" s="16" t="s">
        <v>1058</v>
      </c>
      <c r="C55" s="43" t="s">
        <v>95</v>
      </c>
      <c r="D55" s="43">
        <v>1957.8</v>
      </c>
      <c r="E55" s="48">
        <v>880.46</v>
      </c>
      <c r="F55" s="47">
        <f t="shared" si="1"/>
        <v>1723765</v>
      </c>
    </row>
    <row r="56" spans="1:6" ht="19.5" customHeight="1">
      <c r="A56" s="45" t="s">
        <v>1059</v>
      </c>
      <c r="B56" s="16" t="s">
        <v>1060</v>
      </c>
      <c r="C56" s="43" t="s">
        <v>95</v>
      </c>
      <c r="D56" s="43">
        <v>106.1</v>
      </c>
      <c r="E56" s="48">
        <v>880.46</v>
      </c>
      <c r="F56" s="47">
        <f t="shared" si="1"/>
        <v>93417</v>
      </c>
    </row>
    <row r="57" spans="1:6" ht="19.5" customHeight="1">
      <c r="A57" s="45" t="s">
        <v>1061</v>
      </c>
      <c r="B57" s="16" t="s">
        <v>1062</v>
      </c>
      <c r="C57" s="43" t="s">
        <v>95</v>
      </c>
      <c r="D57" s="43">
        <v>36</v>
      </c>
      <c r="E57" s="48">
        <v>880.46</v>
      </c>
      <c r="F57" s="47">
        <f t="shared" si="1"/>
        <v>31697</v>
      </c>
    </row>
    <row r="58" spans="1:6" ht="19.5" customHeight="1">
      <c r="A58" s="45" t="s">
        <v>1063</v>
      </c>
      <c r="B58" s="16" t="s">
        <v>1064</v>
      </c>
      <c r="C58" s="43" t="s">
        <v>95</v>
      </c>
      <c r="D58" s="43">
        <v>1233.5999999999999</v>
      </c>
      <c r="E58" s="48">
        <v>880.46</v>
      </c>
      <c r="F58" s="47">
        <f t="shared" si="1"/>
        <v>1086135</v>
      </c>
    </row>
    <row r="59" spans="1:6" ht="19.5" customHeight="1">
      <c r="A59" s="45" t="s">
        <v>1065</v>
      </c>
      <c r="B59" s="16" t="s">
        <v>1066</v>
      </c>
      <c r="C59" s="43" t="s">
        <v>95</v>
      </c>
      <c r="D59" s="43">
        <v>876.2</v>
      </c>
      <c r="E59" s="48">
        <v>880.46</v>
      </c>
      <c r="F59" s="47">
        <f t="shared" si="1"/>
        <v>771459</v>
      </c>
    </row>
    <row r="60" spans="1:6" ht="19.5" customHeight="1">
      <c r="A60" s="45" t="s">
        <v>1067</v>
      </c>
      <c r="B60" s="16" t="s">
        <v>1068</v>
      </c>
      <c r="C60" s="43" t="s">
        <v>95</v>
      </c>
      <c r="D60" s="43">
        <v>100.1</v>
      </c>
      <c r="E60" s="48">
        <v>880.46</v>
      </c>
      <c r="F60" s="47">
        <f t="shared" si="1"/>
        <v>88134</v>
      </c>
    </row>
    <row r="61" spans="1:6" ht="19.5" customHeight="1">
      <c r="A61" s="45" t="s">
        <v>1069</v>
      </c>
      <c r="B61" s="16" t="s">
        <v>1070</v>
      </c>
      <c r="C61" s="43" t="s">
        <v>95</v>
      </c>
      <c r="D61" s="43">
        <v>293.8</v>
      </c>
      <c r="E61" s="48">
        <v>880.46</v>
      </c>
      <c r="F61" s="47">
        <f t="shared" si="1"/>
        <v>258679</v>
      </c>
    </row>
    <row r="62" spans="1:6" ht="19.5" customHeight="1">
      <c r="A62" s="45" t="s">
        <v>1071</v>
      </c>
      <c r="B62" s="16" t="s">
        <v>1072</v>
      </c>
      <c r="C62" s="43" t="s">
        <v>95</v>
      </c>
      <c r="D62" s="48">
        <v>1437.9</v>
      </c>
      <c r="E62" s="48">
        <v>653.41</v>
      </c>
      <c r="F62" s="47">
        <f t="shared" si="1"/>
        <v>939538</v>
      </c>
    </row>
    <row r="63" spans="1:6" ht="19.5" customHeight="1">
      <c r="A63" s="45" t="s">
        <v>1073</v>
      </c>
      <c r="B63" s="16" t="s">
        <v>1074</v>
      </c>
      <c r="C63" s="43" t="s">
        <v>95</v>
      </c>
      <c r="D63" s="48">
        <v>185.1</v>
      </c>
      <c r="E63" s="48">
        <v>653.41</v>
      </c>
      <c r="F63" s="47">
        <f t="shared" si="1"/>
        <v>120946</v>
      </c>
    </row>
    <row r="64" spans="1:6" ht="32.1" customHeight="1">
      <c r="A64" s="42" t="s">
        <v>1075</v>
      </c>
      <c r="B64" s="11" t="s">
        <v>1076</v>
      </c>
      <c r="C64" s="43" t="s">
        <v>735</v>
      </c>
      <c r="D64" s="43">
        <v>0</v>
      </c>
      <c r="E64" s="48">
        <v>0</v>
      </c>
      <c r="F64" s="47">
        <f t="shared" si="1"/>
        <v>0</v>
      </c>
    </row>
    <row r="65" spans="1:6" ht="19.5" customHeight="1">
      <c r="A65" s="45" t="s">
        <v>1077</v>
      </c>
      <c r="B65" s="16" t="s">
        <v>1078</v>
      </c>
      <c r="C65" s="43" t="s">
        <v>95</v>
      </c>
      <c r="D65" s="43">
        <v>0</v>
      </c>
      <c r="E65" s="48">
        <v>0</v>
      </c>
      <c r="F65" s="47">
        <f t="shared" si="1"/>
        <v>0</v>
      </c>
    </row>
    <row r="66" spans="1:6" ht="19.5" customHeight="1">
      <c r="A66" s="45" t="s">
        <v>1079</v>
      </c>
      <c r="B66" s="16" t="s">
        <v>1080</v>
      </c>
      <c r="C66" s="43" t="s">
        <v>95</v>
      </c>
      <c r="D66" s="43">
        <v>0</v>
      </c>
      <c r="E66" s="48">
        <v>0</v>
      </c>
      <c r="F66" s="47">
        <f t="shared" si="1"/>
        <v>0</v>
      </c>
    </row>
    <row r="67" spans="1:6" ht="44.1" customHeight="1">
      <c r="A67" s="42" t="s">
        <v>1081</v>
      </c>
      <c r="B67" s="11" t="s">
        <v>1082</v>
      </c>
      <c r="C67" s="43" t="s">
        <v>735</v>
      </c>
      <c r="D67" s="43">
        <v>0</v>
      </c>
      <c r="E67" s="48">
        <v>0</v>
      </c>
      <c r="F67" s="47">
        <f t="shared" si="1"/>
        <v>0</v>
      </c>
    </row>
    <row r="68" spans="1:6" ht="18.899999999999999" customHeight="1">
      <c r="A68" s="45" t="s">
        <v>1083</v>
      </c>
      <c r="B68" s="16" t="s">
        <v>500</v>
      </c>
      <c r="C68" s="43" t="s">
        <v>95</v>
      </c>
      <c r="D68" s="43">
        <v>0</v>
      </c>
      <c r="E68" s="48">
        <v>0</v>
      </c>
      <c r="F68" s="47">
        <f t="shared" si="1"/>
        <v>0</v>
      </c>
    </row>
    <row r="69" spans="1:6" ht="18.899999999999999" customHeight="1">
      <c r="A69" s="45" t="s">
        <v>1084</v>
      </c>
      <c r="B69" s="16" t="s">
        <v>501</v>
      </c>
      <c r="C69" s="43" t="s">
        <v>95</v>
      </c>
      <c r="D69" s="43">
        <v>1329.92</v>
      </c>
      <c r="E69" s="48">
        <v>1028.42</v>
      </c>
      <c r="F69" s="47">
        <f t="shared" si="1"/>
        <v>1367716</v>
      </c>
    </row>
    <row r="70" spans="1:6" ht="29.1" customHeight="1">
      <c r="A70" s="42" t="s">
        <v>1085</v>
      </c>
      <c r="B70" s="11" t="s">
        <v>1086</v>
      </c>
      <c r="C70" s="43" t="s">
        <v>735</v>
      </c>
      <c r="D70" s="43">
        <v>0</v>
      </c>
      <c r="E70" s="48">
        <v>0</v>
      </c>
      <c r="F70" s="47">
        <f t="shared" si="1"/>
        <v>0</v>
      </c>
    </row>
    <row r="71" spans="1:6" ht="18.899999999999999" customHeight="1">
      <c r="A71" s="45" t="s">
        <v>1087</v>
      </c>
      <c r="B71" s="16" t="s">
        <v>1088</v>
      </c>
      <c r="C71" s="43" t="s">
        <v>95</v>
      </c>
      <c r="D71" s="43">
        <v>792.2</v>
      </c>
      <c r="E71" s="48">
        <v>566.41999999999996</v>
      </c>
      <c r="F71" s="47">
        <f t="shared" si="1"/>
        <v>448718</v>
      </c>
    </row>
    <row r="72" spans="1:6" ht="19.5" customHeight="1">
      <c r="A72" s="45" t="s">
        <v>1089</v>
      </c>
      <c r="B72" s="16" t="s">
        <v>1090</v>
      </c>
      <c r="C72" s="43" t="s">
        <v>95</v>
      </c>
      <c r="D72" s="43">
        <v>556.79999999999995</v>
      </c>
      <c r="E72" s="48">
        <v>566.41999999999996</v>
      </c>
      <c r="F72" s="47">
        <f t="shared" si="1"/>
        <v>315383</v>
      </c>
    </row>
    <row r="73" spans="1:6" ht="19.5" customHeight="1">
      <c r="A73" s="45" t="s">
        <v>1091</v>
      </c>
      <c r="B73" s="16" t="s">
        <v>1092</v>
      </c>
      <c r="C73" s="43" t="s">
        <v>95</v>
      </c>
      <c r="D73" s="43">
        <v>40.22</v>
      </c>
      <c r="E73" s="48">
        <v>566.41999999999996</v>
      </c>
      <c r="F73" s="47">
        <f t="shared" si="1"/>
        <v>22781</v>
      </c>
    </row>
    <row r="74" spans="1:6" ht="19.5" customHeight="1">
      <c r="A74" s="45" t="s">
        <v>1093</v>
      </c>
      <c r="B74" s="16" t="s">
        <v>1094</v>
      </c>
      <c r="C74" s="43" t="s">
        <v>95</v>
      </c>
      <c r="D74" s="43">
        <v>39.1</v>
      </c>
      <c r="E74" s="48">
        <v>566.41999999999996</v>
      </c>
      <c r="F74" s="47">
        <f t="shared" si="1"/>
        <v>22147</v>
      </c>
    </row>
    <row r="75" spans="1:6" ht="19.5" customHeight="1">
      <c r="A75" s="42" t="s">
        <v>1095</v>
      </c>
      <c r="B75" s="11" t="s">
        <v>1096</v>
      </c>
      <c r="C75" s="43" t="s">
        <v>735</v>
      </c>
      <c r="D75" s="43">
        <v>0</v>
      </c>
      <c r="E75" s="48">
        <v>0</v>
      </c>
      <c r="F75" s="47">
        <f t="shared" ref="F75:F124" si="2">ROUND((D75*E75),0)</f>
        <v>0</v>
      </c>
    </row>
    <row r="76" spans="1:6" ht="19.5" customHeight="1">
      <c r="A76" s="45" t="s">
        <v>1097</v>
      </c>
      <c r="B76" s="16" t="s">
        <v>1096</v>
      </c>
      <c r="C76" s="43" t="s">
        <v>95</v>
      </c>
      <c r="D76" s="43">
        <v>0</v>
      </c>
      <c r="E76" s="48">
        <v>0</v>
      </c>
      <c r="F76" s="47">
        <f t="shared" si="2"/>
        <v>0</v>
      </c>
    </row>
    <row r="77" spans="1:6" ht="19.5" customHeight="1">
      <c r="A77" s="42" t="s">
        <v>1098</v>
      </c>
      <c r="B77" s="11" t="s">
        <v>504</v>
      </c>
      <c r="C77" s="43" t="s">
        <v>735</v>
      </c>
      <c r="D77" s="43">
        <v>0</v>
      </c>
      <c r="E77" s="48">
        <v>0</v>
      </c>
      <c r="F77" s="47">
        <f t="shared" si="2"/>
        <v>0</v>
      </c>
    </row>
    <row r="78" spans="1:6" ht="19.5" customHeight="1">
      <c r="A78" s="45" t="s">
        <v>1099</v>
      </c>
      <c r="B78" s="16" t="s">
        <v>1100</v>
      </c>
      <c r="C78" s="43" t="s">
        <v>164</v>
      </c>
      <c r="D78" s="43">
        <v>429826.8</v>
      </c>
      <c r="E78" s="48">
        <v>13.33</v>
      </c>
      <c r="F78" s="47">
        <f t="shared" si="2"/>
        <v>5729591</v>
      </c>
    </row>
    <row r="79" spans="1:6" ht="19.5" customHeight="1">
      <c r="A79" s="42" t="s">
        <v>1101</v>
      </c>
      <c r="B79" s="11" t="s">
        <v>1102</v>
      </c>
      <c r="C79" s="43" t="s">
        <v>735</v>
      </c>
      <c r="D79" s="48">
        <v>0</v>
      </c>
      <c r="E79" s="48">
        <v>0</v>
      </c>
      <c r="F79" s="47">
        <f t="shared" si="2"/>
        <v>0</v>
      </c>
    </row>
    <row r="80" spans="1:6" ht="19.5" customHeight="1">
      <c r="A80" s="45" t="s">
        <v>1103</v>
      </c>
      <c r="B80" s="16" t="s">
        <v>1104</v>
      </c>
      <c r="C80" s="43" t="s">
        <v>164</v>
      </c>
      <c r="D80" s="48">
        <v>0</v>
      </c>
      <c r="E80" s="48">
        <v>0</v>
      </c>
      <c r="F80" s="47">
        <f t="shared" si="2"/>
        <v>0</v>
      </c>
    </row>
    <row r="81" spans="1:6" ht="19.5" customHeight="1">
      <c r="A81" s="42" t="s">
        <v>1105</v>
      </c>
      <c r="B81" s="11" t="s">
        <v>1106</v>
      </c>
      <c r="C81" s="43" t="s">
        <v>735</v>
      </c>
      <c r="D81" s="48">
        <v>0</v>
      </c>
      <c r="E81" s="48">
        <v>0</v>
      </c>
      <c r="F81" s="47">
        <f t="shared" si="2"/>
        <v>0</v>
      </c>
    </row>
    <row r="82" spans="1:6" ht="19.5" customHeight="1">
      <c r="A82" s="45" t="s">
        <v>1107</v>
      </c>
      <c r="B82" s="16" t="s">
        <v>1108</v>
      </c>
      <c r="C82" s="43" t="s">
        <v>95</v>
      </c>
      <c r="D82" s="48">
        <v>0</v>
      </c>
      <c r="E82" s="48"/>
      <c r="F82" s="47">
        <f t="shared" si="2"/>
        <v>0</v>
      </c>
    </row>
    <row r="83" spans="1:6" ht="19.5" customHeight="1">
      <c r="A83" s="45" t="s">
        <v>1109</v>
      </c>
      <c r="B83" s="16" t="s">
        <v>1110</v>
      </c>
      <c r="C83" s="43" t="s">
        <v>95</v>
      </c>
      <c r="D83" s="48">
        <v>0</v>
      </c>
      <c r="E83" s="48">
        <v>0</v>
      </c>
      <c r="F83" s="47">
        <f t="shared" si="2"/>
        <v>0</v>
      </c>
    </row>
    <row r="84" spans="1:6" ht="19.5" customHeight="1">
      <c r="A84" s="42" t="s">
        <v>1111</v>
      </c>
      <c r="B84" s="11" t="s">
        <v>1112</v>
      </c>
      <c r="C84" s="43" t="s">
        <v>735</v>
      </c>
      <c r="D84" s="48">
        <v>0</v>
      </c>
      <c r="E84" s="48">
        <v>0</v>
      </c>
      <c r="F84" s="47">
        <f t="shared" si="2"/>
        <v>0</v>
      </c>
    </row>
    <row r="85" spans="1:6" ht="19.5" customHeight="1">
      <c r="A85" s="45" t="s">
        <v>1113</v>
      </c>
      <c r="B85" s="16" t="s">
        <v>1114</v>
      </c>
      <c r="C85" s="43" t="s">
        <v>95</v>
      </c>
      <c r="D85" s="48">
        <v>0</v>
      </c>
      <c r="E85" s="48">
        <v>0</v>
      </c>
      <c r="F85" s="47">
        <f t="shared" si="2"/>
        <v>0</v>
      </c>
    </row>
    <row r="86" spans="1:6" ht="19.5" customHeight="1">
      <c r="A86" s="45" t="s">
        <v>1115</v>
      </c>
      <c r="B86" s="16" t="s">
        <v>1116</v>
      </c>
      <c r="C86" s="43" t="s">
        <v>95</v>
      </c>
      <c r="D86" s="48">
        <v>1068.5999999999999</v>
      </c>
      <c r="E86" s="48">
        <v>1250.6400000000001</v>
      </c>
      <c r="F86" s="47">
        <f t="shared" si="2"/>
        <v>1336434</v>
      </c>
    </row>
    <row r="87" spans="1:6" ht="19.5" customHeight="1">
      <c r="A87" s="45" t="s">
        <v>1117</v>
      </c>
      <c r="B87" s="16" t="s">
        <v>1118</v>
      </c>
      <c r="C87" s="43" t="s">
        <v>95</v>
      </c>
      <c r="D87" s="48">
        <v>9094.52</v>
      </c>
      <c r="E87" s="48">
        <v>1250.6400000000001</v>
      </c>
      <c r="F87" s="47">
        <f t="shared" si="2"/>
        <v>11373970</v>
      </c>
    </row>
    <row r="88" spans="1:6" ht="19.5" customHeight="1">
      <c r="A88" s="42" t="s">
        <v>1119</v>
      </c>
      <c r="B88" s="11" t="s">
        <v>1120</v>
      </c>
      <c r="C88" s="43" t="s">
        <v>735</v>
      </c>
      <c r="D88" s="48">
        <v>0</v>
      </c>
      <c r="E88" s="48">
        <v>0</v>
      </c>
      <c r="F88" s="47">
        <f t="shared" si="2"/>
        <v>0</v>
      </c>
    </row>
    <row r="89" spans="1:6" ht="19.5" customHeight="1">
      <c r="A89" s="45" t="s">
        <v>1121</v>
      </c>
      <c r="B89" s="16" t="s">
        <v>922</v>
      </c>
      <c r="C89" s="43" t="s">
        <v>95</v>
      </c>
      <c r="D89" s="48">
        <v>213.5</v>
      </c>
      <c r="E89" s="48">
        <v>339.47</v>
      </c>
      <c r="F89" s="47">
        <f t="shared" si="2"/>
        <v>72477</v>
      </c>
    </row>
    <row r="90" spans="1:6" ht="19.5" customHeight="1">
      <c r="A90" s="45" t="s">
        <v>1122</v>
      </c>
      <c r="B90" s="16" t="s">
        <v>1123</v>
      </c>
      <c r="C90" s="43" t="s">
        <v>95</v>
      </c>
      <c r="D90" s="48">
        <v>204.1</v>
      </c>
      <c r="E90" s="48">
        <v>459.09</v>
      </c>
      <c r="F90" s="47">
        <f t="shared" si="2"/>
        <v>93700</v>
      </c>
    </row>
    <row r="91" spans="1:6" ht="19.5" customHeight="1">
      <c r="A91" s="42" t="s">
        <v>1124</v>
      </c>
      <c r="B91" s="11" t="s">
        <v>1125</v>
      </c>
      <c r="C91" s="43" t="s">
        <v>735</v>
      </c>
      <c r="D91" s="48">
        <v>0</v>
      </c>
      <c r="E91" s="48">
        <v>0</v>
      </c>
      <c r="F91" s="47">
        <f t="shared" si="2"/>
        <v>0</v>
      </c>
    </row>
    <row r="92" spans="1:6" ht="19.5" customHeight="1">
      <c r="A92" s="45" t="s">
        <v>1126</v>
      </c>
      <c r="B92" s="16" t="s">
        <v>1127</v>
      </c>
      <c r="C92" s="43" t="s">
        <v>113</v>
      </c>
      <c r="D92" s="48">
        <v>16352.9</v>
      </c>
      <c r="E92" s="48">
        <v>74.36</v>
      </c>
      <c r="F92" s="47">
        <f t="shared" si="2"/>
        <v>1216002</v>
      </c>
    </row>
    <row r="93" spans="1:6" ht="26.1" customHeight="1">
      <c r="A93" s="45" t="s">
        <v>1128</v>
      </c>
      <c r="B93" s="16" t="s">
        <v>1129</v>
      </c>
      <c r="C93" s="43" t="s">
        <v>113</v>
      </c>
      <c r="D93" s="48">
        <v>16352.9</v>
      </c>
      <c r="E93" s="48">
        <v>101.3</v>
      </c>
      <c r="F93" s="47">
        <f t="shared" si="2"/>
        <v>1656549</v>
      </c>
    </row>
    <row r="94" spans="1:6" ht="19.5" customHeight="1">
      <c r="A94" s="42" t="s">
        <v>1130</v>
      </c>
      <c r="B94" s="11" t="s">
        <v>1131</v>
      </c>
      <c r="C94" s="43" t="s">
        <v>735</v>
      </c>
      <c r="D94" s="48">
        <v>0</v>
      </c>
      <c r="E94" s="48">
        <v>0</v>
      </c>
      <c r="F94" s="47">
        <f t="shared" si="2"/>
        <v>0</v>
      </c>
    </row>
    <row r="95" spans="1:6" ht="19.5" customHeight="1">
      <c r="A95" s="45" t="s">
        <v>1132</v>
      </c>
      <c r="B95" s="16" t="s">
        <v>1133</v>
      </c>
      <c r="C95" s="43" t="s">
        <v>95</v>
      </c>
      <c r="D95" s="48">
        <v>1647.5</v>
      </c>
      <c r="E95" s="48">
        <v>840.58</v>
      </c>
      <c r="F95" s="47">
        <f t="shared" si="2"/>
        <v>1384856</v>
      </c>
    </row>
    <row r="96" spans="1:6" ht="19.5" customHeight="1">
      <c r="A96" s="42" t="s">
        <v>1134</v>
      </c>
      <c r="B96" s="11" t="s">
        <v>1135</v>
      </c>
      <c r="C96" s="43" t="s">
        <v>735</v>
      </c>
      <c r="D96" s="48">
        <v>0</v>
      </c>
      <c r="E96" s="48">
        <v>0</v>
      </c>
      <c r="F96" s="47">
        <f t="shared" si="2"/>
        <v>0</v>
      </c>
    </row>
    <row r="97" spans="1:6" ht="19.5" customHeight="1">
      <c r="A97" s="45" t="s">
        <v>1136</v>
      </c>
      <c r="B97" s="16" t="s">
        <v>1137</v>
      </c>
      <c r="C97" s="43" t="s">
        <v>113</v>
      </c>
      <c r="D97" s="48">
        <v>0</v>
      </c>
      <c r="E97" s="48">
        <v>0</v>
      </c>
      <c r="F97" s="47">
        <f t="shared" si="2"/>
        <v>0</v>
      </c>
    </row>
    <row r="98" spans="1:6" ht="19.5" customHeight="1">
      <c r="A98" s="42" t="s">
        <v>1138</v>
      </c>
      <c r="B98" s="11" t="s">
        <v>1139</v>
      </c>
      <c r="C98" s="43" t="s">
        <v>735</v>
      </c>
      <c r="D98" s="48">
        <v>0</v>
      </c>
      <c r="E98" s="48">
        <v>0</v>
      </c>
      <c r="F98" s="47">
        <f t="shared" si="2"/>
        <v>0</v>
      </c>
    </row>
    <row r="99" spans="1:6" ht="19.5" customHeight="1">
      <c r="A99" s="45" t="s">
        <v>1140</v>
      </c>
      <c r="B99" s="16" t="s">
        <v>1141</v>
      </c>
      <c r="C99" s="43" t="s">
        <v>1142</v>
      </c>
      <c r="D99" s="48">
        <v>0</v>
      </c>
      <c r="E99" s="48">
        <v>0</v>
      </c>
      <c r="F99" s="47">
        <f t="shared" si="2"/>
        <v>0</v>
      </c>
    </row>
    <row r="100" spans="1:6" ht="19.5" customHeight="1">
      <c r="A100" s="42" t="s">
        <v>1143</v>
      </c>
      <c r="B100" s="11" t="s">
        <v>1144</v>
      </c>
      <c r="C100" s="43" t="s">
        <v>735</v>
      </c>
      <c r="D100" s="48">
        <v>0</v>
      </c>
      <c r="E100" s="48">
        <v>0</v>
      </c>
      <c r="F100" s="47">
        <f t="shared" si="2"/>
        <v>0</v>
      </c>
    </row>
    <row r="101" spans="1:6" ht="19.5" customHeight="1">
      <c r="A101" s="45" t="s">
        <v>1145</v>
      </c>
      <c r="B101" s="16" t="s">
        <v>506</v>
      </c>
      <c r="C101" s="43" t="s">
        <v>1142</v>
      </c>
      <c r="D101" s="48">
        <v>192</v>
      </c>
      <c r="E101" s="48">
        <v>315.62</v>
      </c>
      <c r="F101" s="47">
        <f t="shared" si="2"/>
        <v>60599</v>
      </c>
    </row>
    <row r="102" spans="1:6" ht="19.5" customHeight="1">
      <c r="A102" s="45" t="s">
        <v>1146</v>
      </c>
      <c r="B102" s="16" t="s">
        <v>1147</v>
      </c>
      <c r="C102" s="43" t="s">
        <v>1142</v>
      </c>
      <c r="D102" s="48">
        <v>40</v>
      </c>
      <c r="E102" s="48">
        <v>1115.94</v>
      </c>
      <c r="F102" s="47">
        <f t="shared" si="2"/>
        <v>44638</v>
      </c>
    </row>
    <row r="103" spans="1:6" ht="19.5" customHeight="1">
      <c r="A103" s="45" t="s">
        <v>1148</v>
      </c>
      <c r="B103" s="16" t="s">
        <v>514</v>
      </c>
      <c r="C103" s="43" t="s">
        <v>1142</v>
      </c>
      <c r="D103" s="48">
        <v>216</v>
      </c>
      <c r="E103" s="48">
        <v>1530.78</v>
      </c>
      <c r="F103" s="47">
        <f t="shared" si="2"/>
        <v>330648</v>
      </c>
    </row>
    <row r="104" spans="1:6" ht="19.5" customHeight="1">
      <c r="A104" s="45" t="s">
        <v>1149</v>
      </c>
      <c r="B104" s="16" t="s">
        <v>515</v>
      </c>
      <c r="C104" s="43" t="s">
        <v>1142</v>
      </c>
      <c r="D104" s="48">
        <v>32</v>
      </c>
      <c r="E104" s="48">
        <v>310.64</v>
      </c>
      <c r="F104" s="47">
        <f t="shared" si="2"/>
        <v>9940</v>
      </c>
    </row>
    <row r="105" spans="1:6" ht="19.5" customHeight="1">
      <c r="A105" s="45" t="s">
        <v>1150</v>
      </c>
      <c r="B105" s="16" t="s">
        <v>516</v>
      </c>
      <c r="C105" s="43" t="s">
        <v>1142</v>
      </c>
      <c r="D105" s="48">
        <v>0</v>
      </c>
      <c r="E105" s="48">
        <v>0</v>
      </c>
      <c r="F105" s="47">
        <f t="shared" si="2"/>
        <v>0</v>
      </c>
    </row>
    <row r="106" spans="1:6" ht="19.5" customHeight="1">
      <c r="A106" s="45" t="s">
        <v>1151</v>
      </c>
      <c r="B106" s="16" t="s">
        <v>518</v>
      </c>
      <c r="C106" s="43" t="s">
        <v>1142</v>
      </c>
      <c r="D106" s="48">
        <v>96</v>
      </c>
      <c r="E106" s="48">
        <v>1453.46</v>
      </c>
      <c r="F106" s="47">
        <f t="shared" si="2"/>
        <v>139532</v>
      </c>
    </row>
    <row r="107" spans="1:6" ht="19.5" customHeight="1">
      <c r="A107" s="42" t="s">
        <v>1152</v>
      </c>
      <c r="B107" s="11" t="s">
        <v>1153</v>
      </c>
      <c r="C107" s="43" t="s">
        <v>735</v>
      </c>
      <c r="D107" s="48">
        <v>0</v>
      </c>
      <c r="E107" s="48">
        <v>0</v>
      </c>
      <c r="F107" s="47">
        <f t="shared" si="2"/>
        <v>0</v>
      </c>
    </row>
    <row r="108" spans="1:6" ht="19.5" customHeight="1">
      <c r="A108" s="45" t="s">
        <v>1154</v>
      </c>
      <c r="B108" s="16" t="s">
        <v>521</v>
      </c>
      <c r="C108" s="43" t="s">
        <v>140</v>
      </c>
      <c r="D108" s="48">
        <v>144.69999999999999</v>
      </c>
      <c r="E108" s="48">
        <v>953.74</v>
      </c>
      <c r="F108" s="47">
        <f t="shared" si="2"/>
        <v>138006</v>
      </c>
    </row>
    <row r="109" spans="1:6" ht="19.5" customHeight="1">
      <c r="A109" s="45" t="s">
        <v>1155</v>
      </c>
      <c r="B109" s="16" t="s">
        <v>523</v>
      </c>
      <c r="C109" s="43" t="s">
        <v>140</v>
      </c>
      <c r="D109" s="48">
        <v>72.400000000000006</v>
      </c>
      <c r="E109" s="48">
        <v>2101.46</v>
      </c>
      <c r="F109" s="47">
        <f t="shared" si="2"/>
        <v>152146</v>
      </c>
    </row>
    <row r="110" spans="1:6" ht="19.5" customHeight="1">
      <c r="A110" s="42" t="s">
        <v>1156</v>
      </c>
      <c r="B110" s="11" t="s">
        <v>1157</v>
      </c>
      <c r="C110" s="43" t="s">
        <v>735</v>
      </c>
      <c r="D110" s="48">
        <v>0</v>
      </c>
      <c r="E110" s="48">
        <v>0</v>
      </c>
      <c r="F110" s="47">
        <f t="shared" si="2"/>
        <v>0</v>
      </c>
    </row>
    <row r="111" spans="1:6" ht="19.5" customHeight="1">
      <c r="A111" s="45" t="s">
        <v>1158</v>
      </c>
      <c r="B111" s="16" t="s">
        <v>1159</v>
      </c>
      <c r="C111" s="43" t="s">
        <v>140</v>
      </c>
      <c r="D111" s="48">
        <v>0</v>
      </c>
      <c r="E111" s="48">
        <v>0</v>
      </c>
      <c r="F111" s="47">
        <f t="shared" si="2"/>
        <v>0</v>
      </c>
    </row>
    <row r="112" spans="1:6" ht="19.5" customHeight="1">
      <c r="A112" s="45" t="s">
        <v>1160</v>
      </c>
      <c r="B112" s="16" t="s">
        <v>1161</v>
      </c>
      <c r="C112" s="43" t="s">
        <v>140</v>
      </c>
      <c r="D112" s="48">
        <v>0</v>
      </c>
      <c r="E112" s="48"/>
      <c r="F112" s="47">
        <f t="shared" si="2"/>
        <v>0</v>
      </c>
    </row>
    <row r="113" spans="1:6" ht="19.5" customHeight="1">
      <c r="A113" s="45" t="s">
        <v>1162</v>
      </c>
      <c r="B113" s="16" t="s">
        <v>1163</v>
      </c>
      <c r="C113" s="43" t="s">
        <v>140</v>
      </c>
      <c r="D113" s="48">
        <v>0</v>
      </c>
      <c r="E113" s="48"/>
      <c r="F113" s="47">
        <f t="shared" si="2"/>
        <v>0</v>
      </c>
    </row>
    <row r="114" spans="1:6" ht="19.5" customHeight="1">
      <c r="A114" s="45" t="s">
        <v>1164</v>
      </c>
      <c r="B114" s="16" t="s">
        <v>540</v>
      </c>
      <c r="C114" s="43" t="s">
        <v>351</v>
      </c>
      <c r="D114" s="48">
        <v>327</v>
      </c>
      <c r="E114" s="48">
        <v>37.72</v>
      </c>
      <c r="F114" s="47">
        <f t="shared" si="2"/>
        <v>12334</v>
      </c>
    </row>
    <row r="115" spans="1:6" ht="19.5" customHeight="1">
      <c r="A115" s="42" t="s">
        <v>1165</v>
      </c>
      <c r="B115" s="11" t="s">
        <v>1166</v>
      </c>
      <c r="C115" s="43"/>
      <c r="D115" s="48">
        <v>0</v>
      </c>
      <c r="E115" s="48">
        <v>0</v>
      </c>
      <c r="F115" s="47">
        <f t="shared" si="2"/>
        <v>0</v>
      </c>
    </row>
    <row r="116" spans="1:6" ht="19.5" customHeight="1">
      <c r="A116" s="45" t="s">
        <v>1167</v>
      </c>
      <c r="B116" s="16" t="s">
        <v>1168</v>
      </c>
      <c r="C116" s="43" t="s">
        <v>140</v>
      </c>
      <c r="D116" s="48">
        <v>0</v>
      </c>
      <c r="E116" s="48">
        <v>0</v>
      </c>
      <c r="F116" s="47">
        <f t="shared" si="2"/>
        <v>0</v>
      </c>
    </row>
    <row r="117" spans="1:6" ht="19.5" customHeight="1">
      <c r="A117" s="45" t="s">
        <v>1169</v>
      </c>
      <c r="B117" s="16" t="s">
        <v>1170</v>
      </c>
      <c r="C117" s="43" t="s">
        <v>140</v>
      </c>
      <c r="D117" s="48">
        <v>0</v>
      </c>
      <c r="E117" s="48"/>
      <c r="F117" s="47">
        <f t="shared" si="2"/>
        <v>0</v>
      </c>
    </row>
    <row r="118" spans="1:6" ht="19.5" customHeight="1">
      <c r="A118" s="45" t="s">
        <v>1171</v>
      </c>
      <c r="B118" s="16" t="s">
        <v>1172</v>
      </c>
      <c r="C118" s="43" t="s">
        <v>140</v>
      </c>
      <c r="D118" s="48">
        <v>0</v>
      </c>
      <c r="E118" s="48"/>
      <c r="F118" s="47">
        <f t="shared" si="2"/>
        <v>0</v>
      </c>
    </row>
    <row r="119" spans="1:6" ht="19.5" customHeight="1">
      <c r="A119" s="45" t="s">
        <v>1173</v>
      </c>
      <c r="B119" s="16" t="s">
        <v>1174</v>
      </c>
      <c r="C119" s="43" t="s">
        <v>140</v>
      </c>
      <c r="D119" s="48">
        <v>0</v>
      </c>
      <c r="E119" s="48"/>
      <c r="F119" s="47">
        <f t="shared" si="2"/>
        <v>0</v>
      </c>
    </row>
    <row r="120" spans="1:6" ht="19.5" customHeight="1">
      <c r="A120" s="42" t="s">
        <v>1175</v>
      </c>
      <c r="B120" s="11" t="s">
        <v>1176</v>
      </c>
      <c r="C120" s="43" t="s">
        <v>735</v>
      </c>
      <c r="D120" s="48">
        <v>0</v>
      </c>
      <c r="E120" s="48">
        <v>0</v>
      </c>
      <c r="F120" s="47">
        <f t="shared" si="2"/>
        <v>0</v>
      </c>
    </row>
    <row r="121" spans="1:6" ht="19.5" customHeight="1">
      <c r="A121" s="45" t="s">
        <v>1177</v>
      </c>
      <c r="B121" s="16" t="s">
        <v>1178</v>
      </c>
      <c r="C121" s="43" t="s">
        <v>140</v>
      </c>
      <c r="D121" s="43">
        <v>122</v>
      </c>
      <c r="E121" s="43">
        <v>9741.81</v>
      </c>
      <c r="F121" s="47">
        <f t="shared" si="2"/>
        <v>1188501</v>
      </c>
    </row>
    <row r="122" spans="1:6" ht="19.5" customHeight="1">
      <c r="A122" s="45" t="s">
        <v>1179</v>
      </c>
      <c r="B122" s="16" t="s">
        <v>1180</v>
      </c>
      <c r="C122" s="43" t="s">
        <v>140</v>
      </c>
      <c r="D122" s="43">
        <v>45.872999999999998</v>
      </c>
      <c r="E122" s="43">
        <v>26447.1</v>
      </c>
      <c r="F122" s="47">
        <f t="shared" si="2"/>
        <v>1213208</v>
      </c>
    </row>
    <row r="123" spans="1:6" ht="19.5" customHeight="1">
      <c r="A123" s="42" t="s">
        <v>1181</v>
      </c>
      <c r="B123" s="11" t="s">
        <v>1182</v>
      </c>
      <c r="C123" s="43" t="s">
        <v>735</v>
      </c>
      <c r="D123" s="43">
        <v>0</v>
      </c>
      <c r="E123" s="43">
        <v>0</v>
      </c>
      <c r="F123" s="47">
        <f t="shared" si="2"/>
        <v>0</v>
      </c>
    </row>
    <row r="124" spans="1:6" ht="19.5" customHeight="1">
      <c r="A124" s="45" t="s">
        <v>1183</v>
      </c>
      <c r="B124" s="16" t="s">
        <v>1184</v>
      </c>
      <c r="C124" s="43" t="s">
        <v>140</v>
      </c>
      <c r="D124" s="43">
        <v>96.873000000000005</v>
      </c>
      <c r="E124" s="43">
        <v>26447.1</v>
      </c>
      <c r="F124" s="47">
        <f t="shared" si="2"/>
        <v>2562010</v>
      </c>
    </row>
    <row r="125" spans="1:6" ht="27.9" customHeight="1">
      <c r="A125" s="42" t="s">
        <v>1185</v>
      </c>
      <c r="B125" s="11" t="s">
        <v>1186</v>
      </c>
      <c r="C125" s="43" t="s">
        <v>735</v>
      </c>
      <c r="D125" s="43">
        <v>0</v>
      </c>
      <c r="E125" s="43">
        <v>0</v>
      </c>
      <c r="F125" s="47">
        <f t="shared" ref="F125:F141" si="3">ROUND((D125*E125),0)</f>
        <v>0</v>
      </c>
    </row>
    <row r="126" spans="1:6" ht="19.5" customHeight="1">
      <c r="A126" s="45" t="s">
        <v>1187</v>
      </c>
      <c r="B126" s="16" t="s">
        <v>1188</v>
      </c>
      <c r="C126" s="43" t="s">
        <v>95</v>
      </c>
      <c r="D126" s="43">
        <v>0</v>
      </c>
      <c r="E126" s="43">
        <v>0</v>
      </c>
      <c r="F126" s="47">
        <f t="shared" si="3"/>
        <v>0</v>
      </c>
    </row>
    <row r="127" spans="1:6" ht="19.5" customHeight="1">
      <c r="A127" s="45" t="s">
        <v>1189</v>
      </c>
      <c r="B127" s="16" t="s">
        <v>1190</v>
      </c>
      <c r="C127" s="43" t="s">
        <v>95</v>
      </c>
      <c r="D127" s="43">
        <v>0</v>
      </c>
      <c r="E127" s="43">
        <v>0</v>
      </c>
      <c r="F127" s="47">
        <f t="shared" si="3"/>
        <v>0</v>
      </c>
    </row>
    <row r="128" spans="1:6" ht="19.5" customHeight="1">
      <c r="A128" s="45" t="s">
        <v>1191</v>
      </c>
      <c r="B128" s="16" t="s">
        <v>1192</v>
      </c>
      <c r="C128" s="43" t="s">
        <v>164</v>
      </c>
      <c r="D128" s="43">
        <v>0</v>
      </c>
      <c r="E128" s="43">
        <v>0</v>
      </c>
      <c r="F128" s="47">
        <f t="shared" si="3"/>
        <v>0</v>
      </c>
    </row>
    <row r="129" spans="1:6" ht="19.5" customHeight="1">
      <c r="A129" s="45" t="s">
        <v>1193</v>
      </c>
      <c r="B129" s="16" t="s">
        <v>1194</v>
      </c>
      <c r="C129" s="43" t="s">
        <v>164</v>
      </c>
      <c r="D129" s="43">
        <v>0</v>
      </c>
      <c r="E129" s="43">
        <v>0</v>
      </c>
      <c r="F129" s="47">
        <f t="shared" si="3"/>
        <v>0</v>
      </c>
    </row>
    <row r="130" spans="1:6" ht="19.5" customHeight="1">
      <c r="A130" s="45" t="s">
        <v>1195</v>
      </c>
      <c r="B130" s="16" t="s">
        <v>1196</v>
      </c>
      <c r="C130" s="43" t="s">
        <v>164</v>
      </c>
      <c r="D130" s="43">
        <v>0</v>
      </c>
      <c r="E130" s="43">
        <v>0</v>
      </c>
      <c r="F130" s="47">
        <f t="shared" si="3"/>
        <v>0</v>
      </c>
    </row>
    <row r="131" spans="1:6" ht="30" customHeight="1">
      <c r="A131" s="42" t="s">
        <v>1197</v>
      </c>
      <c r="B131" s="11" t="s">
        <v>1198</v>
      </c>
      <c r="C131" s="43" t="s">
        <v>735</v>
      </c>
      <c r="D131" s="43">
        <v>0</v>
      </c>
      <c r="E131" s="43">
        <v>0</v>
      </c>
      <c r="F131" s="47">
        <f t="shared" si="3"/>
        <v>0</v>
      </c>
    </row>
    <row r="132" spans="1:6" ht="19.5" customHeight="1">
      <c r="A132" s="45" t="s">
        <v>1199</v>
      </c>
      <c r="B132" s="16" t="s">
        <v>1200</v>
      </c>
      <c r="C132" s="43" t="s">
        <v>95</v>
      </c>
      <c r="D132" s="43">
        <v>0</v>
      </c>
      <c r="E132" s="43">
        <v>0</v>
      </c>
      <c r="F132" s="47">
        <f t="shared" si="3"/>
        <v>0</v>
      </c>
    </row>
    <row r="133" spans="1:6" ht="19.5" customHeight="1">
      <c r="A133" s="45" t="s">
        <v>1201</v>
      </c>
      <c r="B133" s="16" t="s">
        <v>1202</v>
      </c>
      <c r="C133" s="43" t="s">
        <v>95</v>
      </c>
      <c r="D133" s="43">
        <v>0</v>
      </c>
      <c r="E133" s="43">
        <v>0</v>
      </c>
      <c r="F133" s="47">
        <f t="shared" si="3"/>
        <v>0</v>
      </c>
    </row>
    <row r="134" spans="1:6" ht="19.5" customHeight="1">
      <c r="A134" s="45" t="s">
        <v>1203</v>
      </c>
      <c r="B134" s="16" t="s">
        <v>1204</v>
      </c>
      <c r="C134" s="43" t="s">
        <v>95</v>
      </c>
      <c r="D134" s="43">
        <v>0</v>
      </c>
      <c r="E134" s="43">
        <v>0</v>
      </c>
      <c r="F134" s="47">
        <f t="shared" si="3"/>
        <v>0</v>
      </c>
    </row>
    <row r="135" spans="1:6" ht="19.5" customHeight="1">
      <c r="A135" s="42" t="s">
        <v>1205</v>
      </c>
      <c r="B135" s="11" t="s">
        <v>1206</v>
      </c>
      <c r="C135" s="43" t="s">
        <v>735</v>
      </c>
      <c r="D135" s="43">
        <v>0</v>
      </c>
      <c r="E135" s="43">
        <v>0</v>
      </c>
      <c r="F135" s="47">
        <f t="shared" si="3"/>
        <v>0</v>
      </c>
    </row>
    <row r="136" spans="1:6" ht="19.5" customHeight="1">
      <c r="A136" s="45" t="s">
        <v>1207</v>
      </c>
      <c r="B136" s="16" t="s">
        <v>1208</v>
      </c>
      <c r="C136" s="43" t="s">
        <v>95</v>
      </c>
      <c r="D136" s="43">
        <v>2.19</v>
      </c>
      <c r="E136" s="43">
        <v>494</v>
      </c>
      <c r="F136" s="47">
        <f t="shared" si="3"/>
        <v>1082</v>
      </c>
    </row>
    <row r="137" spans="1:6" ht="19.5" customHeight="1">
      <c r="A137" s="45" t="s">
        <v>1209</v>
      </c>
      <c r="B137" s="16" t="s">
        <v>1210</v>
      </c>
      <c r="C137" s="43" t="s">
        <v>95</v>
      </c>
      <c r="D137" s="43">
        <v>6.6</v>
      </c>
      <c r="E137" s="43">
        <v>517.28</v>
      </c>
      <c r="F137" s="47">
        <f t="shared" si="3"/>
        <v>3414</v>
      </c>
    </row>
    <row r="138" spans="1:6" ht="19.5" customHeight="1">
      <c r="A138" s="45" t="s">
        <v>1211</v>
      </c>
      <c r="B138" s="16" t="s">
        <v>1212</v>
      </c>
      <c r="C138" s="43" t="s">
        <v>95</v>
      </c>
      <c r="D138" s="43">
        <v>0</v>
      </c>
      <c r="E138" s="43"/>
      <c r="F138" s="47">
        <f t="shared" si="3"/>
        <v>0</v>
      </c>
    </row>
    <row r="139" spans="1:6" ht="19.5" customHeight="1">
      <c r="A139" s="45" t="s">
        <v>1213</v>
      </c>
      <c r="B139" s="16" t="s">
        <v>924</v>
      </c>
      <c r="C139" s="43" t="s">
        <v>95</v>
      </c>
      <c r="D139" s="43">
        <v>0</v>
      </c>
      <c r="E139" s="43"/>
      <c r="F139" s="47">
        <f t="shared" si="3"/>
        <v>0</v>
      </c>
    </row>
    <row r="140" spans="1:6" ht="19.5" customHeight="1">
      <c r="A140" s="45" t="s">
        <v>1214</v>
      </c>
      <c r="B140" s="16" t="s">
        <v>1192</v>
      </c>
      <c r="C140" s="43" t="s">
        <v>164</v>
      </c>
      <c r="D140" s="43">
        <v>54</v>
      </c>
      <c r="E140" s="43">
        <v>7.22</v>
      </c>
      <c r="F140" s="47">
        <f t="shared" si="3"/>
        <v>390</v>
      </c>
    </row>
    <row r="141" spans="1:6" ht="19.5" customHeight="1">
      <c r="A141" s="45" t="s">
        <v>1215</v>
      </c>
      <c r="B141" s="16" t="s">
        <v>1194</v>
      </c>
      <c r="C141" s="43" t="s">
        <v>164</v>
      </c>
      <c r="D141" s="43">
        <v>210</v>
      </c>
      <c r="E141" s="43">
        <v>7.33</v>
      </c>
      <c r="F141" s="47">
        <f t="shared" si="3"/>
        <v>1539</v>
      </c>
    </row>
    <row r="142" spans="1:6" ht="19.5" customHeight="1">
      <c r="A142" s="489" t="s">
        <v>1216</v>
      </c>
      <c r="B142" s="489"/>
      <c r="C142" s="489"/>
      <c r="D142" s="10"/>
      <c r="E142" s="10"/>
      <c r="F142" s="53">
        <f>SUM(F10:F141)</f>
        <v>87218364</v>
      </c>
    </row>
    <row r="143" spans="1:6" ht="14.4">
      <c r="A143" s="54"/>
      <c r="C143" s="55"/>
      <c r="D143" s="55"/>
      <c r="E143" s="55"/>
      <c r="F143" s="56"/>
    </row>
    <row r="144" spans="1:6" ht="14.4">
      <c r="A144" s="54"/>
      <c r="C144" s="55"/>
      <c r="D144" s="55"/>
      <c r="E144" s="55"/>
      <c r="F144" s="56"/>
    </row>
    <row r="145" spans="1:6" ht="14.4">
      <c r="A145" s="54"/>
      <c r="C145" s="55"/>
      <c r="D145" s="55"/>
      <c r="E145" s="55"/>
      <c r="F145" s="56"/>
    </row>
    <row r="146" spans="1:6" ht="14.4">
      <c r="A146" s="57"/>
      <c r="C146" s="57"/>
      <c r="D146" s="57"/>
      <c r="E146" s="57"/>
      <c r="F146" s="57"/>
    </row>
  </sheetData>
  <autoFilter ref="A4:F142" xr:uid="{00000000-0009-0000-0000-000019000000}"/>
  <mergeCells count="2">
    <mergeCell ref="A1:F1"/>
    <mergeCell ref="A142:C142"/>
  </mergeCells>
  <phoneticPr fontId="98" type="noConversion"/>
  <conditionalFormatting sqref="A1:XFD4">
    <cfRule type="cellIs" dxfId="0" priority="1" operator="equal">
      <formula>0</formula>
    </cfRule>
  </conditionalFormatting>
  <pageMargins left="0.70902777777777803" right="0.70902777777777803" top="0.75" bottom="0.75" header="0.30902777777777801" footer="0.30902777777777801"/>
  <pageSetup paperSize="9" orientation="portrait" r:id="rId1"/>
  <headerFooter alignWithMargins="0">
    <oddFooter>&amp;C第 &amp;P 页</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169"/>
  <sheetViews>
    <sheetView showZeros="0" workbookViewId="0">
      <pane ySplit="2" topLeftCell="A36" activePane="bottomLeft" state="frozen"/>
      <selection pane="bottomLeft" activeCell="D48" sqref="D48"/>
    </sheetView>
  </sheetViews>
  <sheetFormatPr defaultColWidth="9" defaultRowHeight="13.2"/>
  <cols>
    <col min="1" max="1" width="10.44140625" customWidth="1"/>
    <col min="2" max="2" width="26.6640625" customWidth="1"/>
    <col min="4" max="5" width="11.109375" customWidth="1"/>
    <col min="6" max="6" width="13.6640625" customWidth="1"/>
    <col min="8" max="8" width="9.33203125" customWidth="1"/>
  </cols>
  <sheetData>
    <row r="1" spans="1:9" ht="25.8">
      <c r="A1" s="484" t="s">
        <v>730</v>
      </c>
      <c r="B1" s="484"/>
      <c r="C1" s="484"/>
      <c r="D1" s="484"/>
      <c r="E1" s="484"/>
      <c r="F1" s="484"/>
    </row>
    <row r="2" spans="1:9" ht="18.75" customHeight="1">
      <c r="A2" s="1" t="s">
        <v>1217</v>
      </c>
      <c r="B2" s="2"/>
      <c r="C2" s="3"/>
      <c r="D2" s="4"/>
      <c r="E2" s="4"/>
      <c r="F2" s="4"/>
    </row>
    <row r="3" spans="1:9" ht="18.75" customHeight="1">
      <c r="A3" s="490" t="s">
        <v>1218</v>
      </c>
      <c r="B3" s="491"/>
      <c r="C3" s="491"/>
      <c r="D3" s="491"/>
      <c r="E3" s="491"/>
      <c r="F3" s="492"/>
    </row>
    <row r="4" spans="1:9" ht="18.75" customHeight="1">
      <c r="A4" s="5" t="s">
        <v>56</v>
      </c>
      <c r="B4" s="6" t="s">
        <v>57</v>
      </c>
      <c r="C4" s="5" t="s">
        <v>58</v>
      </c>
      <c r="D4" s="5" t="s">
        <v>59</v>
      </c>
      <c r="E4" s="7" t="s">
        <v>456</v>
      </c>
      <c r="F4" s="7" t="s">
        <v>616</v>
      </c>
      <c r="I4" s="22"/>
    </row>
    <row r="5" spans="1:9" ht="20.100000000000001" customHeight="1">
      <c r="A5" s="8" t="s">
        <v>1219</v>
      </c>
      <c r="B5" s="8" t="s">
        <v>1220</v>
      </c>
      <c r="C5" s="9" t="s">
        <v>735</v>
      </c>
      <c r="D5" s="10"/>
      <c r="E5" s="10"/>
      <c r="F5" s="11"/>
      <c r="I5" s="23"/>
    </row>
    <row r="6" spans="1:9" ht="20.100000000000001" customHeight="1">
      <c r="A6" s="12" t="s">
        <v>1221</v>
      </c>
      <c r="B6" s="12" t="s">
        <v>1222</v>
      </c>
      <c r="C6" s="13" t="s">
        <v>95</v>
      </c>
      <c r="D6" s="14">
        <v>3333</v>
      </c>
      <c r="E6" s="15">
        <v>10.24</v>
      </c>
      <c r="F6" s="16">
        <f>ROUND((D6*E6),0)</f>
        <v>34130</v>
      </c>
      <c r="I6" s="22"/>
    </row>
    <row r="7" spans="1:9" ht="20.100000000000001" customHeight="1">
      <c r="A7" s="12" t="s">
        <v>1223</v>
      </c>
      <c r="B7" s="12" t="s">
        <v>1224</v>
      </c>
      <c r="C7" s="13" t="s">
        <v>95</v>
      </c>
      <c r="D7" s="14">
        <v>17514</v>
      </c>
      <c r="E7" s="15">
        <v>38.15</v>
      </c>
      <c r="F7" s="16">
        <f t="shared" ref="F7:F38" si="0">ROUND((D7*E7),0)</f>
        <v>668159</v>
      </c>
      <c r="I7" s="22"/>
    </row>
    <row r="8" spans="1:9" ht="20.100000000000001" customHeight="1">
      <c r="A8" s="8" t="s">
        <v>1225</v>
      </c>
      <c r="B8" s="8" t="s">
        <v>1226</v>
      </c>
      <c r="C8" s="9" t="s">
        <v>735</v>
      </c>
      <c r="D8" s="14">
        <v>0</v>
      </c>
      <c r="E8" s="15">
        <v>0</v>
      </c>
      <c r="F8" s="16">
        <f t="shared" si="0"/>
        <v>0</v>
      </c>
      <c r="I8" s="23"/>
    </row>
    <row r="9" spans="1:9" ht="20.100000000000001" customHeight="1">
      <c r="A9" s="12" t="s">
        <v>1227</v>
      </c>
      <c r="B9" s="12" t="s">
        <v>1228</v>
      </c>
      <c r="C9" s="13" t="s">
        <v>95</v>
      </c>
      <c r="D9" s="14">
        <v>217</v>
      </c>
      <c r="E9" s="15">
        <v>870.23</v>
      </c>
      <c r="F9" s="16">
        <f t="shared" si="0"/>
        <v>188840</v>
      </c>
      <c r="I9" s="22"/>
    </row>
    <row r="10" spans="1:9" ht="20.100000000000001" customHeight="1">
      <c r="A10" s="12" t="s">
        <v>1229</v>
      </c>
      <c r="B10" s="12" t="s">
        <v>1230</v>
      </c>
      <c r="C10" s="13" t="s">
        <v>95</v>
      </c>
      <c r="D10" s="14">
        <v>221</v>
      </c>
      <c r="E10" s="15">
        <v>918.06</v>
      </c>
      <c r="F10" s="16">
        <f t="shared" si="0"/>
        <v>202891</v>
      </c>
      <c r="I10" s="22"/>
    </row>
    <row r="11" spans="1:9" ht="20.100000000000001" customHeight="1">
      <c r="A11" s="12" t="s">
        <v>1231</v>
      </c>
      <c r="B11" s="12" t="s">
        <v>1232</v>
      </c>
      <c r="C11" s="13" t="s">
        <v>140</v>
      </c>
      <c r="D11" s="14">
        <v>0</v>
      </c>
      <c r="E11" s="15">
        <v>0</v>
      </c>
      <c r="F11" s="16">
        <f t="shared" si="0"/>
        <v>0</v>
      </c>
      <c r="I11" s="22"/>
    </row>
    <row r="12" spans="1:9" ht="20.100000000000001" customHeight="1">
      <c r="A12" s="12" t="s">
        <v>1233</v>
      </c>
      <c r="B12" s="12" t="s">
        <v>1234</v>
      </c>
      <c r="C12" s="13" t="s">
        <v>140</v>
      </c>
      <c r="D12" s="14">
        <v>0</v>
      </c>
      <c r="E12" s="15">
        <v>0</v>
      </c>
      <c r="F12" s="16">
        <f t="shared" si="0"/>
        <v>0</v>
      </c>
      <c r="I12" s="22"/>
    </row>
    <row r="13" spans="1:9" ht="20.100000000000001" customHeight="1">
      <c r="A13" s="12" t="s">
        <v>1235</v>
      </c>
      <c r="B13" s="12" t="s">
        <v>1236</v>
      </c>
      <c r="C13" s="13" t="s">
        <v>95</v>
      </c>
      <c r="D13" s="14">
        <v>0</v>
      </c>
      <c r="E13" s="15">
        <v>0</v>
      </c>
      <c r="F13" s="16">
        <f t="shared" si="0"/>
        <v>0</v>
      </c>
      <c r="I13" s="22"/>
    </row>
    <row r="14" spans="1:9" ht="20.100000000000001" customHeight="1">
      <c r="A14" s="12" t="s">
        <v>1237</v>
      </c>
      <c r="B14" s="12" t="s">
        <v>1238</v>
      </c>
      <c r="C14" s="13" t="s">
        <v>95</v>
      </c>
      <c r="D14" s="14">
        <v>0</v>
      </c>
      <c r="E14" s="15">
        <v>0</v>
      </c>
      <c r="F14" s="16">
        <f t="shared" si="0"/>
        <v>0</v>
      </c>
      <c r="I14" s="22"/>
    </row>
    <row r="15" spans="1:9" ht="20.100000000000001" customHeight="1">
      <c r="A15" s="8" t="s">
        <v>1239</v>
      </c>
      <c r="B15" s="8" t="s">
        <v>1240</v>
      </c>
      <c r="C15" s="9" t="s">
        <v>735</v>
      </c>
      <c r="D15" s="14">
        <v>0</v>
      </c>
      <c r="E15" s="15">
        <v>0</v>
      </c>
      <c r="F15" s="16">
        <f t="shared" si="0"/>
        <v>0</v>
      </c>
      <c r="I15" s="23"/>
    </row>
    <row r="16" spans="1:9" ht="20.100000000000001" customHeight="1">
      <c r="A16" s="12" t="s">
        <v>1241</v>
      </c>
      <c r="B16" s="12" t="s">
        <v>503</v>
      </c>
      <c r="C16" s="13" t="s">
        <v>95</v>
      </c>
      <c r="D16" s="14">
        <v>303</v>
      </c>
      <c r="E16" s="15">
        <v>770.53</v>
      </c>
      <c r="F16" s="16">
        <f t="shared" si="0"/>
        <v>233471</v>
      </c>
      <c r="I16" s="22"/>
    </row>
    <row r="17" spans="1:9" ht="20.100000000000001" customHeight="1">
      <c r="A17" s="12" t="s">
        <v>1242</v>
      </c>
      <c r="B17" s="12" t="s">
        <v>1243</v>
      </c>
      <c r="C17" s="13" t="s">
        <v>113</v>
      </c>
      <c r="D17" s="14">
        <v>0</v>
      </c>
      <c r="E17" s="15">
        <v>0</v>
      </c>
      <c r="F17" s="16">
        <f t="shared" si="0"/>
        <v>0</v>
      </c>
      <c r="I17" s="22"/>
    </row>
    <row r="18" spans="1:9" ht="20.100000000000001" customHeight="1">
      <c r="A18" s="12" t="s">
        <v>1244</v>
      </c>
      <c r="B18" s="12" t="s">
        <v>1245</v>
      </c>
      <c r="C18" s="13" t="s">
        <v>113</v>
      </c>
      <c r="D18" s="14">
        <v>1033</v>
      </c>
      <c r="E18" s="15">
        <v>23.71</v>
      </c>
      <c r="F18" s="16">
        <f t="shared" si="0"/>
        <v>24492</v>
      </c>
      <c r="I18" s="22"/>
    </row>
    <row r="19" spans="1:9" ht="20.100000000000001" customHeight="1">
      <c r="A19" s="12" t="s">
        <v>1246</v>
      </c>
      <c r="B19" s="12" t="s">
        <v>493</v>
      </c>
      <c r="C19" s="13" t="s">
        <v>164</v>
      </c>
      <c r="D19" s="14">
        <v>22489</v>
      </c>
      <c r="E19" s="15">
        <v>14.02</v>
      </c>
      <c r="F19" s="16">
        <f t="shared" si="0"/>
        <v>315296</v>
      </c>
      <c r="I19" s="22"/>
    </row>
    <row r="20" spans="1:9" ht="20.100000000000001" customHeight="1">
      <c r="A20" s="12" t="s">
        <v>1247</v>
      </c>
      <c r="B20" s="12" t="s">
        <v>1248</v>
      </c>
      <c r="C20" s="13" t="s">
        <v>164</v>
      </c>
      <c r="D20" s="14">
        <v>10939</v>
      </c>
      <c r="E20" s="15">
        <v>7.64</v>
      </c>
      <c r="F20" s="16">
        <f t="shared" si="0"/>
        <v>83574</v>
      </c>
      <c r="I20" s="22"/>
    </row>
    <row r="21" spans="1:9" ht="20.100000000000001" customHeight="1">
      <c r="A21" s="12" t="s">
        <v>1249</v>
      </c>
      <c r="B21" s="12" t="s">
        <v>1250</v>
      </c>
      <c r="C21" s="13" t="s">
        <v>113</v>
      </c>
      <c r="D21" s="14">
        <v>1070</v>
      </c>
      <c r="E21" s="15">
        <v>133.63</v>
      </c>
      <c r="F21" s="16">
        <f t="shared" si="0"/>
        <v>142984</v>
      </c>
      <c r="I21" s="22"/>
    </row>
    <row r="22" spans="1:9" ht="20.100000000000001" customHeight="1">
      <c r="A22" s="12" t="s">
        <v>1251</v>
      </c>
      <c r="B22" s="17" t="s">
        <v>1252</v>
      </c>
      <c r="C22" s="18" t="s">
        <v>140</v>
      </c>
      <c r="D22" s="19">
        <v>0</v>
      </c>
      <c r="E22" s="15"/>
      <c r="F22" s="16">
        <f t="shared" si="0"/>
        <v>0</v>
      </c>
      <c r="H22">
        <f>D22+D54+D67+D70+D52+D80</f>
        <v>633176</v>
      </c>
      <c r="I22" s="22"/>
    </row>
    <row r="23" spans="1:9" ht="20.100000000000001" customHeight="1">
      <c r="A23" s="12" t="s">
        <v>1253</v>
      </c>
      <c r="B23" s="12" t="s">
        <v>1254</v>
      </c>
      <c r="C23" s="13" t="s">
        <v>95</v>
      </c>
      <c r="D23" s="14">
        <v>761</v>
      </c>
      <c r="E23" s="15">
        <v>327.61</v>
      </c>
      <c r="F23" s="16">
        <f t="shared" si="0"/>
        <v>249311</v>
      </c>
      <c r="I23" s="22"/>
    </row>
    <row r="24" spans="1:9" ht="20.100000000000001" customHeight="1">
      <c r="A24" s="12" t="s">
        <v>1255</v>
      </c>
      <c r="B24" s="20" t="s">
        <v>1256</v>
      </c>
      <c r="C24" s="13" t="s">
        <v>95</v>
      </c>
      <c r="D24" s="14">
        <v>62</v>
      </c>
      <c r="E24" s="15">
        <v>458.01</v>
      </c>
      <c r="F24" s="16">
        <f t="shared" si="0"/>
        <v>28397</v>
      </c>
      <c r="I24" s="22"/>
    </row>
    <row r="25" spans="1:9" ht="20.100000000000001" customHeight="1">
      <c r="A25" s="12" t="s">
        <v>1257</v>
      </c>
      <c r="B25" s="20" t="s">
        <v>1258</v>
      </c>
      <c r="C25" s="13" t="s">
        <v>95</v>
      </c>
      <c r="D25" s="14">
        <v>317</v>
      </c>
      <c r="E25" s="15">
        <v>617.29</v>
      </c>
      <c r="F25" s="16">
        <f t="shared" si="0"/>
        <v>195681</v>
      </c>
      <c r="I25" s="22"/>
    </row>
    <row r="26" spans="1:9" ht="20.100000000000001" customHeight="1">
      <c r="A26" s="8" t="s">
        <v>1259</v>
      </c>
      <c r="B26" s="8" t="s">
        <v>1260</v>
      </c>
      <c r="C26" s="9" t="s">
        <v>735</v>
      </c>
      <c r="D26" s="14">
        <v>0</v>
      </c>
      <c r="E26" s="15">
        <v>0</v>
      </c>
      <c r="F26" s="16">
        <f t="shared" si="0"/>
        <v>0</v>
      </c>
      <c r="I26" s="23"/>
    </row>
    <row r="27" spans="1:9" ht="20.100000000000001" customHeight="1">
      <c r="A27" s="12" t="s">
        <v>1261</v>
      </c>
      <c r="B27" s="12" t="s">
        <v>497</v>
      </c>
      <c r="C27" s="13" t="s">
        <v>95</v>
      </c>
      <c r="D27" s="14">
        <v>1991</v>
      </c>
      <c r="E27" s="15">
        <v>577.63</v>
      </c>
      <c r="F27" s="16">
        <f t="shared" si="0"/>
        <v>1150061</v>
      </c>
      <c r="I27" s="22"/>
    </row>
    <row r="28" spans="1:9" ht="20.100000000000001" customHeight="1">
      <c r="A28" s="12" t="s">
        <v>1262</v>
      </c>
      <c r="B28" s="12" t="s">
        <v>303</v>
      </c>
      <c r="C28" s="13" t="s">
        <v>95</v>
      </c>
      <c r="D28" s="14">
        <v>290</v>
      </c>
      <c r="E28" s="15">
        <v>661.71</v>
      </c>
      <c r="F28" s="16">
        <f t="shared" si="0"/>
        <v>191896</v>
      </c>
      <c r="I28" s="22"/>
    </row>
    <row r="29" spans="1:9" ht="20.100000000000001" customHeight="1">
      <c r="A29" s="12" t="s">
        <v>1263</v>
      </c>
      <c r="B29" s="12" t="s">
        <v>1264</v>
      </c>
      <c r="C29" s="13" t="s">
        <v>95</v>
      </c>
      <c r="D29" s="14">
        <v>12</v>
      </c>
      <c r="E29" s="15">
        <v>323.3</v>
      </c>
      <c r="F29" s="16">
        <f t="shared" si="0"/>
        <v>3880</v>
      </c>
      <c r="I29" s="22"/>
    </row>
    <row r="30" spans="1:9" ht="20.100000000000001" customHeight="1">
      <c r="A30" s="12" t="s">
        <v>1265</v>
      </c>
      <c r="B30" s="12" t="s">
        <v>951</v>
      </c>
      <c r="C30" s="13" t="s">
        <v>164</v>
      </c>
      <c r="D30" s="14">
        <v>7730</v>
      </c>
      <c r="E30" s="15">
        <v>6.9</v>
      </c>
      <c r="F30" s="16">
        <f t="shared" si="0"/>
        <v>53337</v>
      </c>
      <c r="I30" s="22"/>
    </row>
    <row r="31" spans="1:9" ht="20.100000000000001" customHeight="1">
      <c r="A31" s="12" t="s">
        <v>1266</v>
      </c>
      <c r="B31" s="12" t="s">
        <v>953</v>
      </c>
      <c r="C31" s="13" t="s">
        <v>164</v>
      </c>
      <c r="D31" s="14">
        <v>47532</v>
      </c>
      <c r="E31" s="15">
        <v>7</v>
      </c>
      <c r="F31" s="16">
        <f t="shared" si="0"/>
        <v>332724</v>
      </c>
      <c r="I31" s="22"/>
    </row>
    <row r="32" spans="1:9" ht="20.100000000000001" customHeight="1">
      <c r="A32" s="12" t="s">
        <v>1267</v>
      </c>
      <c r="B32" s="12" t="s">
        <v>1268</v>
      </c>
      <c r="C32" s="13" t="s">
        <v>140</v>
      </c>
      <c r="D32" s="14">
        <v>3669</v>
      </c>
      <c r="E32" s="15">
        <v>24.41</v>
      </c>
      <c r="F32" s="16">
        <f t="shared" si="0"/>
        <v>89560</v>
      </c>
      <c r="I32" s="22"/>
    </row>
    <row r="33" spans="1:9" ht="20.100000000000001" customHeight="1">
      <c r="A33" s="12" t="s">
        <v>1269</v>
      </c>
      <c r="B33" s="12" t="s">
        <v>1270</v>
      </c>
      <c r="C33" s="13" t="s">
        <v>113</v>
      </c>
      <c r="D33" s="14">
        <v>1230</v>
      </c>
      <c r="E33" s="15">
        <v>59.38</v>
      </c>
      <c r="F33" s="16">
        <f t="shared" si="0"/>
        <v>73037</v>
      </c>
      <c r="I33" s="22"/>
    </row>
    <row r="34" spans="1:9" ht="20.100000000000001" customHeight="1">
      <c r="A34" s="12" t="s">
        <v>1271</v>
      </c>
      <c r="B34" s="12" t="s">
        <v>1272</v>
      </c>
      <c r="C34" s="13" t="s">
        <v>113</v>
      </c>
      <c r="D34" s="14">
        <v>0</v>
      </c>
      <c r="E34" s="15">
        <v>0</v>
      </c>
      <c r="F34" s="16">
        <f t="shared" si="0"/>
        <v>0</v>
      </c>
      <c r="I34" s="22"/>
    </row>
    <row r="35" spans="1:9" ht="20.100000000000001" customHeight="1">
      <c r="A35" s="8" t="s">
        <v>1273</v>
      </c>
      <c r="B35" s="8" t="s">
        <v>1274</v>
      </c>
      <c r="C35" s="9" t="s">
        <v>735</v>
      </c>
      <c r="D35" s="14">
        <v>0</v>
      </c>
      <c r="E35" s="15">
        <v>0</v>
      </c>
      <c r="F35" s="16">
        <f t="shared" si="0"/>
        <v>0</v>
      </c>
      <c r="I35" s="23"/>
    </row>
    <row r="36" spans="1:9" ht="20.100000000000001" customHeight="1">
      <c r="A36" s="12" t="s">
        <v>1275</v>
      </c>
      <c r="B36" s="12" t="s">
        <v>1276</v>
      </c>
      <c r="C36" s="13" t="s">
        <v>95</v>
      </c>
      <c r="D36" s="14">
        <v>382</v>
      </c>
      <c r="E36" s="15">
        <v>716.65</v>
      </c>
      <c r="F36" s="16">
        <f t="shared" si="0"/>
        <v>273760</v>
      </c>
      <c r="I36" s="22"/>
    </row>
    <row r="37" spans="1:9" ht="20.100000000000001" customHeight="1">
      <c r="A37" s="12" t="s">
        <v>1277</v>
      </c>
      <c r="B37" s="12" t="s">
        <v>951</v>
      </c>
      <c r="C37" s="13" t="s">
        <v>164</v>
      </c>
      <c r="D37" s="14">
        <v>5342</v>
      </c>
      <c r="E37" s="15">
        <v>6.9</v>
      </c>
      <c r="F37" s="16">
        <f t="shared" si="0"/>
        <v>36860</v>
      </c>
      <c r="I37" s="22"/>
    </row>
    <row r="38" spans="1:9" ht="20.100000000000001" customHeight="1">
      <c r="A38" s="12" t="s">
        <v>1278</v>
      </c>
      <c r="B38" s="12" t="s">
        <v>953</v>
      </c>
      <c r="C38" s="13" t="s">
        <v>164</v>
      </c>
      <c r="D38" s="14">
        <v>44256</v>
      </c>
      <c r="E38" s="15">
        <v>7</v>
      </c>
      <c r="F38" s="16">
        <f t="shared" si="0"/>
        <v>309792</v>
      </c>
      <c r="I38" s="22"/>
    </row>
    <row r="39" spans="1:9" ht="20.100000000000001" customHeight="1">
      <c r="A39" s="12" t="s">
        <v>1279</v>
      </c>
      <c r="B39" s="12" t="s">
        <v>1280</v>
      </c>
      <c r="C39" s="13" t="s">
        <v>95</v>
      </c>
      <c r="D39" s="14">
        <v>280</v>
      </c>
      <c r="E39" s="15">
        <v>543.15</v>
      </c>
      <c r="F39" s="16">
        <f t="shared" ref="F39:F70" si="1">ROUND((D39*E39),0)</f>
        <v>152082</v>
      </c>
      <c r="I39" s="22"/>
    </row>
    <row r="40" spans="1:9" ht="20.100000000000001" customHeight="1">
      <c r="A40" s="12" t="s">
        <v>1281</v>
      </c>
      <c r="B40" s="12" t="s">
        <v>1282</v>
      </c>
      <c r="C40" s="13" t="s">
        <v>95</v>
      </c>
      <c r="D40" s="14">
        <v>0</v>
      </c>
      <c r="E40" s="15">
        <v>0</v>
      </c>
      <c r="F40" s="16">
        <f t="shared" si="1"/>
        <v>0</v>
      </c>
      <c r="I40" s="22"/>
    </row>
    <row r="41" spans="1:9" ht="20.100000000000001" customHeight="1">
      <c r="A41" s="8" t="s">
        <v>1283</v>
      </c>
      <c r="B41" s="8" t="s">
        <v>1284</v>
      </c>
      <c r="C41" s="9" t="s">
        <v>735</v>
      </c>
      <c r="D41" s="14">
        <v>0</v>
      </c>
      <c r="E41" s="15">
        <v>0</v>
      </c>
      <c r="F41" s="16">
        <f t="shared" si="1"/>
        <v>0</v>
      </c>
      <c r="I41" s="23"/>
    </row>
    <row r="42" spans="1:9" ht="20.100000000000001" customHeight="1">
      <c r="A42" s="12" t="s">
        <v>1285</v>
      </c>
      <c r="B42" s="12" t="s">
        <v>1286</v>
      </c>
      <c r="C42" s="13" t="s">
        <v>95</v>
      </c>
      <c r="D42" s="14">
        <v>3363</v>
      </c>
      <c r="E42" s="15">
        <v>17.239999999999998</v>
      </c>
      <c r="F42" s="16">
        <f t="shared" si="1"/>
        <v>57978</v>
      </c>
      <c r="I42" s="22"/>
    </row>
    <row r="43" spans="1:9" ht="20.100000000000001" customHeight="1">
      <c r="A43" s="12" t="s">
        <v>1287</v>
      </c>
      <c r="B43" s="12" t="s">
        <v>1288</v>
      </c>
      <c r="C43" s="13" t="s">
        <v>95</v>
      </c>
      <c r="D43" s="14">
        <v>338</v>
      </c>
      <c r="E43" s="15">
        <v>23.17</v>
      </c>
      <c r="F43" s="16">
        <f t="shared" si="1"/>
        <v>7831</v>
      </c>
      <c r="I43" s="22"/>
    </row>
    <row r="44" spans="1:9" ht="20.100000000000001" customHeight="1">
      <c r="A44" s="12" t="s">
        <v>1289</v>
      </c>
      <c r="B44" s="12" t="s">
        <v>1290</v>
      </c>
      <c r="C44" s="13" t="s">
        <v>95</v>
      </c>
      <c r="D44" s="14">
        <v>338</v>
      </c>
      <c r="E44" s="15">
        <v>29.94</v>
      </c>
      <c r="F44" s="16">
        <f t="shared" si="1"/>
        <v>10120</v>
      </c>
      <c r="I44" s="22"/>
    </row>
    <row r="45" spans="1:9" ht="20.100000000000001" customHeight="1">
      <c r="A45" s="12" t="s">
        <v>1291</v>
      </c>
      <c r="B45" s="12" t="s">
        <v>1292</v>
      </c>
      <c r="C45" s="13" t="s">
        <v>95</v>
      </c>
      <c r="D45" s="14">
        <v>521</v>
      </c>
      <c r="E45" s="15">
        <v>335.16</v>
      </c>
      <c r="F45" s="16">
        <f t="shared" si="1"/>
        <v>174618</v>
      </c>
      <c r="I45" s="22"/>
    </row>
    <row r="46" spans="1:9" ht="20.100000000000001" customHeight="1">
      <c r="A46" s="8" t="s">
        <v>1293</v>
      </c>
      <c r="B46" s="8" t="s">
        <v>1294</v>
      </c>
      <c r="C46" s="9" t="s">
        <v>735</v>
      </c>
      <c r="D46" s="14">
        <v>0</v>
      </c>
      <c r="E46" s="15">
        <v>0</v>
      </c>
      <c r="F46" s="16">
        <f t="shared" si="1"/>
        <v>0</v>
      </c>
      <c r="I46" s="23"/>
    </row>
    <row r="47" spans="1:9" ht="20.100000000000001" customHeight="1">
      <c r="A47" s="12" t="s">
        <v>1295</v>
      </c>
      <c r="B47" s="12" t="s">
        <v>1222</v>
      </c>
      <c r="C47" s="13" t="s">
        <v>95</v>
      </c>
      <c r="D47" s="14">
        <v>0</v>
      </c>
      <c r="E47" s="15">
        <v>0</v>
      </c>
      <c r="F47" s="16">
        <f t="shared" si="1"/>
        <v>0</v>
      </c>
      <c r="I47" s="22"/>
    </row>
    <row r="48" spans="1:9" ht="20.100000000000001" customHeight="1">
      <c r="A48" s="12" t="s">
        <v>1296</v>
      </c>
      <c r="B48" s="12" t="s">
        <v>1224</v>
      </c>
      <c r="C48" s="13" t="s">
        <v>95</v>
      </c>
      <c r="D48" s="14">
        <v>1727153</v>
      </c>
      <c r="E48" s="15">
        <v>127.17</v>
      </c>
      <c r="F48" s="16">
        <f t="shared" si="1"/>
        <v>219642047</v>
      </c>
      <c r="I48" s="22"/>
    </row>
    <row r="49" spans="1:9" ht="29.1" customHeight="1">
      <c r="A49" s="12" t="s">
        <v>1297</v>
      </c>
      <c r="B49" s="12" t="s">
        <v>1298</v>
      </c>
      <c r="C49" s="13" t="s">
        <v>1299</v>
      </c>
      <c r="D49" s="14">
        <v>0</v>
      </c>
      <c r="E49" s="15">
        <v>0</v>
      </c>
      <c r="F49" s="16">
        <f t="shared" si="1"/>
        <v>0</v>
      </c>
      <c r="I49" s="22"/>
    </row>
    <row r="50" spans="1:9" ht="20.100000000000001" customHeight="1">
      <c r="A50" s="8" t="s">
        <v>1300</v>
      </c>
      <c r="B50" s="8" t="s">
        <v>1301</v>
      </c>
      <c r="C50" s="9" t="s">
        <v>735</v>
      </c>
      <c r="D50" s="14">
        <v>0</v>
      </c>
      <c r="E50" s="15">
        <v>0</v>
      </c>
      <c r="F50" s="16">
        <f t="shared" si="1"/>
        <v>0</v>
      </c>
      <c r="I50" s="23"/>
    </row>
    <row r="51" spans="1:9" ht="20.100000000000001" customHeight="1">
      <c r="A51" s="12" t="s">
        <v>1302</v>
      </c>
      <c r="B51" s="12" t="s">
        <v>1303</v>
      </c>
      <c r="C51" s="13" t="s">
        <v>140</v>
      </c>
      <c r="D51" s="14">
        <v>437478</v>
      </c>
      <c r="E51" s="15">
        <v>41.87</v>
      </c>
      <c r="F51" s="16">
        <f t="shared" si="1"/>
        <v>18317204</v>
      </c>
      <c r="I51" s="22"/>
    </row>
    <row r="52" spans="1:9" ht="20.100000000000001" customHeight="1">
      <c r="A52" s="12" t="s">
        <v>1304</v>
      </c>
      <c r="B52" s="21" t="s">
        <v>1305</v>
      </c>
      <c r="C52" s="18" t="s">
        <v>140</v>
      </c>
      <c r="D52" s="19">
        <v>0</v>
      </c>
      <c r="E52" s="15">
        <v>0</v>
      </c>
      <c r="F52" s="16">
        <f t="shared" si="1"/>
        <v>0</v>
      </c>
      <c r="I52" s="22"/>
    </row>
    <row r="53" spans="1:9" ht="20.100000000000001" customHeight="1">
      <c r="A53" s="12" t="s">
        <v>1306</v>
      </c>
      <c r="B53" s="12" t="s">
        <v>1307</v>
      </c>
      <c r="C53" s="13" t="s">
        <v>140</v>
      </c>
      <c r="D53" s="14">
        <v>5250</v>
      </c>
      <c r="E53" s="15">
        <v>95.27</v>
      </c>
      <c r="F53" s="16">
        <f t="shared" si="1"/>
        <v>500168</v>
      </c>
      <c r="I53" s="22"/>
    </row>
    <row r="54" spans="1:9" ht="20.100000000000001" customHeight="1">
      <c r="A54" s="12" t="s">
        <v>1308</v>
      </c>
      <c r="B54" s="17" t="s">
        <v>1252</v>
      </c>
      <c r="C54" s="18" t="s">
        <v>140</v>
      </c>
      <c r="D54" s="19">
        <v>244564</v>
      </c>
      <c r="E54" s="15">
        <v>39.33</v>
      </c>
      <c r="F54" s="16">
        <f t="shared" si="1"/>
        <v>9618702</v>
      </c>
      <c r="I54" s="22"/>
    </row>
    <row r="55" spans="1:9" ht="20.100000000000001" customHeight="1">
      <c r="A55" s="12" t="s">
        <v>1309</v>
      </c>
      <c r="B55" s="12" t="s">
        <v>1310</v>
      </c>
      <c r="C55" s="13" t="s">
        <v>164</v>
      </c>
      <c r="D55" s="14">
        <v>17051</v>
      </c>
      <c r="E55" s="15">
        <v>7</v>
      </c>
      <c r="F55" s="16">
        <f t="shared" si="1"/>
        <v>119357</v>
      </c>
      <c r="I55" s="22"/>
    </row>
    <row r="56" spans="1:9" ht="20.100000000000001" customHeight="1">
      <c r="A56" s="12" t="s">
        <v>1311</v>
      </c>
      <c r="B56" s="12" t="s">
        <v>1312</v>
      </c>
      <c r="C56" s="13" t="s">
        <v>164</v>
      </c>
      <c r="D56" s="14">
        <v>1731</v>
      </c>
      <c r="E56" s="15">
        <v>7</v>
      </c>
      <c r="F56" s="16">
        <f t="shared" si="1"/>
        <v>12117</v>
      </c>
      <c r="I56" s="22"/>
    </row>
    <row r="57" spans="1:9" ht="20.100000000000001" customHeight="1">
      <c r="A57" s="12" t="s">
        <v>1313</v>
      </c>
      <c r="B57" s="12" t="s">
        <v>1314</v>
      </c>
      <c r="C57" s="13" t="s">
        <v>95</v>
      </c>
      <c r="D57" s="14">
        <v>170</v>
      </c>
      <c r="E57" s="15">
        <v>607.80999999999995</v>
      </c>
      <c r="F57" s="16">
        <f t="shared" si="1"/>
        <v>103328</v>
      </c>
      <c r="I57" s="22"/>
    </row>
    <row r="58" spans="1:9" ht="20.100000000000001" customHeight="1">
      <c r="A58" s="8" t="s">
        <v>1315</v>
      </c>
      <c r="B58" s="8" t="s">
        <v>1316</v>
      </c>
      <c r="C58" s="9" t="s">
        <v>735</v>
      </c>
      <c r="D58" s="14">
        <v>0</v>
      </c>
      <c r="E58" s="15">
        <v>0</v>
      </c>
      <c r="F58" s="16">
        <f t="shared" si="1"/>
        <v>0</v>
      </c>
      <c r="I58" s="23"/>
    </row>
    <row r="59" spans="1:9" ht="20.100000000000001" customHeight="1">
      <c r="A59" s="12" t="s">
        <v>1317</v>
      </c>
      <c r="B59" s="12" t="s">
        <v>503</v>
      </c>
      <c r="C59" s="13" t="s">
        <v>95</v>
      </c>
      <c r="D59" s="14">
        <v>90219</v>
      </c>
      <c r="E59" s="15">
        <v>879.38</v>
      </c>
      <c r="F59" s="16">
        <f t="shared" si="1"/>
        <v>79336784</v>
      </c>
      <c r="I59" s="22"/>
    </row>
    <row r="60" spans="1:9" ht="20.100000000000001" customHeight="1">
      <c r="A60" s="12" t="s">
        <v>1318</v>
      </c>
      <c r="B60" s="12" t="s">
        <v>491</v>
      </c>
      <c r="C60" s="13" t="s">
        <v>140</v>
      </c>
      <c r="D60" s="14">
        <v>231001</v>
      </c>
      <c r="E60" s="15">
        <v>30.82</v>
      </c>
      <c r="F60" s="16">
        <f t="shared" si="1"/>
        <v>7119451</v>
      </c>
      <c r="I60" s="22"/>
    </row>
    <row r="61" spans="1:9" ht="20.100000000000001" customHeight="1">
      <c r="A61" s="12" t="s">
        <v>1319</v>
      </c>
      <c r="B61" s="12" t="s">
        <v>493</v>
      </c>
      <c r="C61" s="13" t="s">
        <v>140</v>
      </c>
      <c r="D61" s="14">
        <v>680433</v>
      </c>
      <c r="E61" s="15">
        <v>41.87</v>
      </c>
      <c r="F61" s="16">
        <f t="shared" si="1"/>
        <v>28489730</v>
      </c>
      <c r="I61" s="22"/>
    </row>
    <row r="62" spans="1:9" ht="20.100000000000001" customHeight="1">
      <c r="A62" s="12" t="s">
        <v>1320</v>
      </c>
      <c r="B62" s="12" t="s">
        <v>1248</v>
      </c>
      <c r="C62" s="13" t="s">
        <v>164</v>
      </c>
      <c r="D62" s="14">
        <v>893829</v>
      </c>
      <c r="E62" s="15">
        <v>7.11</v>
      </c>
      <c r="F62" s="16">
        <f t="shared" si="1"/>
        <v>6355124</v>
      </c>
      <c r="I62" s="22"/>
    </row>
    <row r="63" spans="1:9" ht="20.100000000000001" customHeight="1">
      <c r="A63" s="12" t="s">
        <v>1321</v>
      </c>
      <c r="B63" s="12" t="s">
        <v>1310</v>
      </c>
      <c r="C63" s="13" t="s">
        <v>164</v>
      </c>
      <c r="D63" s="14">
        <v>6846998</v>
      </c>
      <c r="E63" s="15">
        <v>7</v>
      </c>
      <c r="F63" s="16">
        <f t="shared" si="1"/>
        <v>47928986</v>
      </c>
      <c r="I63" s="22"/>
    </row>
    <row r="64" spans="1:9" ht="20.100000000000001" customHeight="1">
      <c r="A64" s="12" t="s">
        <v>1322</v>
      </c>
      <c r="B64" s="12" t="s">
        <v>1323</v>
      </c>
      <c r="C64" s="13" t="s">
        <v>164</v>
      </c>
      <c r="D64" s="14">
        <v>0</v>
      </c>
      <c r="E64" s="15">
        <v>0</v>
      </c>
      <c r="F64" s="16">
        <f t="shared" si="1"/>
        <v>0</v>
      </c>
      <c r="I64" s="22"/>
    </row>
    <row r="65" spans="1:9" ht="20.100000000000001" customHeight="1">
      <c r="A65" s="12" t="s">
        <v>1324</v>
      </c>
      <c r="B65" s="12" t="s">
        <v>1325</v>
      </c>
      <c r="C65" s="13" t="s">
        <v>164</v>
      </c>
      <c r="D65" s="14">
        <v>639510</v>
      </c>
      <c r="E65" s="15">
        <v>7</v>
      </c>
      <c r="F65" s="16">
        <f t="shared" si="1"/>
        <v>4476570</v>
      </c>
      <c r="I65" s="22"/>
    </row>
    <row r="66" spans="1:9" ht="20.100000000000001" customHeight="1">
      <c r="A66" s="12" t="s">
        <v>1326</v>
      </c>
      <c r="B66" s="12" t="s">
        <v>1312</v>
      </c>
      <c r="C66" s="13" t="s">
        <v>164</v>
      </c>
      <c r="D66" s="14">
        <v>2258822</v>
      </c>
      <c r="E66" s="15">
        <v>7</v>
      </c>
      <c r="F66" s="16">
        <f t="shared" si="1"/>
        <v>15811754</v>
      </c>
      <c r="I66" s="22"/>
    </row>
    <row r="67" spans="1:9" ht="20.100000000000001" customHeight="1">
      <c r="A67" s="12" t="s">
        <v>1327</v>
      </c>
      <c r="B67" s="17" t="s">
        <v>1328</v>
      </c>
      <c r="C67" s="18" t="s">
        <v>140</v>
      </c>
      <c r="D67" s="19">
        <v>370914</v>
      </c>
      <c r="E67" s="15">
        <v>45.59</v>
      </c>
      <c r="F67" s="16">
        <f t="shared" si="1"/>
        <v>16909969</v>
      </c>
      <c r="I67" s="22"/>
    </row>
    <row r="68" spans="1:9" ht="20.100000000000001" customHeight="1">
      <c r="A68" s="8" t="s">
        <v>1329</v>
      </c>
      <c r="B68" s="8" t="s">
        <v>1330</v>
      </c>
      <c r="C68" s="9" t="s">
        <v>735</v>
      </c>
      <c r="D68" s="14">
        <v>0</v>
      </c>
      <c r="E68" s="15">
        <v>0</v>
      </c>
      <c r="F68" s="16">
        <f t="shared" si="1"/>
        <v>0</v>
      </c>
      <c r="I68" s="23"/>
    </row>
    <row r="69" spans="1:9" ht="20.100000000000001" customHeight="1">
      <c r="A69" s="12" t="s">
        <v>1331</v>
      </c>
      <c r="B69" s="12" t="s">
        <v>502</v>
      </c>
      <c r="C69" s="13" t="s">
        <v>95</v>
      </c>
      <c r="D69" s="14">
        <v>1790</v>
      </c>
      <c r="E69" s="15">
        <v>0</v>
      </c>
      <c r="F69" s="16">
        <f t="shared" si="1"/>
        <v>0</v>
      </c>
      <c r="I69" s="22"/>
    </row>
    <row r="70" spans="1:9" ht="20.100000000000001" customHeight="1">
      <c r="A70" s="12" t="s">
        <v>1332</v>
      </c>
      <c r="B70" s="17" t="s">
        <v>1328</v>
      </c>
      <c r="C70" s="18" t="s">
        <v>140</v>
      </c>
      <c r="D70" s="19">
        <v>14152</v>
      </c>
      <c r="E70" s="15">
        <v>0</v>
      </c>
      <c r="F70" s="16">
        <f t="shared" si="1"/>
        <v>0</v>
      </c>
      <c r="I70" s="22"/>
    </row>
    <row r="71" spans="1:9" ht="20.100000000000001" customHeight="1">
      <c r="A71" s="12" t="s">
        <v>1333</v>
      </c>
      <c r="B71" s="12" t="s">
        <v>1310</v>
      </c>
      <c r="C71" s="13" t="s">
        <v>164</v>
      </c>
      <c r="D71" s="14">
        <v>216054</v>
      </c>
      <c r="E71" s="15">
        <v>0</v>
      </c>
      <c r="F71" s="16">
        <f t="shared" ref="F71:F102" si="2">ROUND((D71*E71),0)</f>
        <v>0</v>
      </c>
      <c r="I71" s="22"/>
    </row>
    <row r="72" spans="1:9" ht="20.100000000000001" customHeight="1">
      <c r="A72" s="12" t="s">
        <v>1334</v>
      </c>
      <c r="B72" s="12" t="s">
        <v>1312</v>
      </c>
      <c r="C72" s="13" t="s">
        <v>164</v>
      </c>
      <c r="D72" s="14">
        <v>15794</v>
      </c>
      <c r="E72" s="15">
        <v>0</v>
      </c>
      <c r="F72" s="16">
        <f t="shared" si="2"/>
        <v>0</v>
      </c>
      <c r="I72" s="22"/>
    </row>
    <row r="73" spans="1:9" ht="20.100000000000001" customHeight="1">
      <c r="A73" s="8" t="s">
        <v>1335</v>
      </c>
      <c r="B73" s="8" t="s">
        <v>1336</v>
      </c>
      <c r="C73" s="9" t="s">
        <v>735</v>
      </c>
      <c r="D73" s="14">
        <v>0</v>
      </c>
      <c r="E73" s="15">
        <v>0</v>
      </c>
      <c r="F73" s="16">
        <f t="shared" si="2"/>
        <v>0</v>
      </c>
      <c r="I73" s="23"/>
    </row>
    <row r="74" spans="1:9" ht="20.100000000000001" customHeight="1">
      <c r="A74" s="12" t="s">
        <v>1337</v>
      </c>
      <c r="B74" s="12" t="s">
        <v>1276</v>
      </c>
      <c r="C74" s="13" t="s">
        <v>95</v>
      </c>
      <c r="D74" s="14">
        <v>165878</v>
      </c>
      <c r="E74" s="15">
        <v>716.65</v>
      </c>
      <c r="F74" s="16">
        <f t="shared" si="2"/>
        <v>118876469</v>
      </c>
      <c r="I74" s="22"/>
    </row>
    <row r="75" spans="1:9" ht="20.100000000000001" customHeight="1">
      <c r="A75" s="12" t="s">
        <v>1338</v>
      </c>
      <c r="B75" s="12" t="s">
        <v>1339</v>
      </c>
      <c r="C75" s="13" t="s">
        <v>95</v>
      </c>
      <c r="D75" s="14">
        <v>28</v>
      </c>
      <c r="E75" s="15">
        <v>716.65</v>
      </c>
      <c r="F75" s="16">
        <f t="shared" si="2"/>
        <v>20066</v>
      </c>
      <c r="I75" s="22"/>
    </row>
    <row r="76" spans="1:9" ht="20.100000000000001" customHeight="1">
      <c r="A76" s="12" t="s">
        <v>1340</v>
      </c>
      <c r="B76" s="12" t="s">
        <v>1341</v>
      </c>
      <c r="C76" s="13" t="s">
        <v>95</v>
      </c>
      <c r="D76" s="14">
        <v>37</v>
      </c>
      <c r="E76" s="15">
        <v>459.09</v>
      </c>
      <c r="F76" s="16">
        <f t="shared" si="2"/>
        <v>16986</v>
      </c>
      <c r="I76" s="22"/>
    </row>
    <row r="77" spans="1:9" ht="20.100000000000001" customHeight="1">
      <c r="A77" s="12" t="s">
        <v>1342</v>
      </c>
      <c r="B77" s="12" t="s">
        <v>951</v>
      </c>
      <c r="C77" s="13" t="s">
        <v>164</v>
      </c>
      <c r="D77" s="14">
        <v>432004</v>
      </c>
      <c r="E77" s="15">
        <v>6.9</v>
      </c>
      <c r="F77" s="16">
        <f t="shared" si="2"/>
        <v>2980828</v>
      </c>
      <c r="I77" s="22"/>
    </row>
    <row r="78" spans="1:9" ht="20.100000000000001" customHeight="1">
      <c r="A78" s="12" t="s">
        <v>1343</v>
      </c>
      <c r="B78" s="12" t="s">
        <v>953</v>
      </c>
      <c r="C78" s="13" t="s">
        <v>164</v>
      </c>
      <c r="D78" s="14">
        <v>4662342</v>
      </c>
      <c r="E78" s="15">
        <v>7</v>
      </c>
      <c r="F78" s="16">
        <f t="shared" si="2"/>
        <v>32636394</v>
      </c>
      <c r="I78" s="22"/>
    </row>
    <row r="79" spans="1:9" ht="20.100000000000001" customHeight="1">
      <c r="A79" s="12" t="s">
        <v>1344</v>
      </c>
      <c r="B79" s="12" t="s">
        <v>1345</v>
      </c>
      <c r="C79" s="13" t="s">
        <v>95</v>
      </c>
      <c r="D79" s="14">
        <v>3855</v>
      </c>
      <c r="E79" s="15">
        <v>523.75</v>
      </c>
      <c r="F79" s="16">
        <f t="shared" si="2"/>
        <v>2019056</v>
      </c>
      <c r="I79" s="22"/>
    </row>
    <row r="80" spans="1:9" ht="20.100000000000001" customHeight="1">
      <c r="A80" s="12" t="s">
        <v>1346</v>
      </c>
      <c r="B80" s="21" t="s">
        <v>1347</v>
      </c>
      <c r="C80" s="18" t="s">
        <v>140</v>
      </c>
      <c r="D80" s="19">
        <v>3546</v>
      </c>
      <c r="E80" s="15">
        <v>45.59</v>
      </c>
      <c r="F80" s="16">
        <f t="shared" si="2"/>
        <v>161662</v>
      </c>
      <c r="I80" s="22"/>
    </row>
    <row r="81" spans="1:9" ht="20.100000000000001" customHeight="1">
      <c r="A81" s="8" t="s">
        <v>1348</v>
      </c>
      <c r="B81" s="8" t="s">
        <v>1349</v>
      </c>
      <c r="C81" s="9" t="s">
        <v>735</v>
      </c>
      <c r="D81" s="14">
        <v>0</v>
      </c>
      <c r="E81" s="15">
        <v>0</v>
      </c>
      <c r="F81" s="16">
        <f t="shared" si="2"/>
        <v>0</v>
      </c>
      <c r="I81" s="23"/>
    </row>
    <row r="82" spans="1:9" ht="20.100000000000001" customHeight="1">
      <c r="A82" s="12" t="s">
        <v>1350</v>
      </c>
      <c r="B82" s="12" t="s">
        <v>1280</v>
      </c>
      <c r="C82" s="13" t="s">
        <v>95</v>
      </c>
      <c r="D82" s="14">
        <v>55252</v>
      </c>
      <c r="E82" s="15">
        <v>455.85</v>
      </c>
      <c r="F82" s="16">
        <f t="shared" si="2"/>
        <v>25186624</v>
      </c>
      <c r="I82" s="22"/>
    </row>
    <row r="83" spans="1:9" ht="20.100000000000001" customHeight="1">
      <c r="A83" s="12" t="s">
        <v>1351</v>
      </c>
      <c r="B83" s="12" t="s">
        <v>1282</v>
      </c>
      <c r="C83" s="13" t="s">
        <v>95</v>
      </c>
      <c r="D83" s="14">
        <v>73459</v>
      </c>
      <c r="E83" s="15">
        <v>404.13</v>
      </c>
      <c r="F83" s="16">
        <f t="shared" si="2"/>
        <v>29686986</v>
      </c>
      <c r="I83" s="22"/>
    </row>
    <row r="84" spans="1:9" ht="20.100000000000001" customHeight="1">
      <c r="A84" s="8" t="s">
        <v>1352</v>
      </c>
      <c r="B84" s="8" t="s">
        <v>1353</v>
      </c>
      <c r="C84" s="9" t="s">
        <v>735</v>
      </c>
      <c r="D84" s="14">
        <v>0</v>
      </c>
      <c r="E84" s="15">
        <v>0</v>
      </c>
      <c r="F84" s="16">
        <f t="shared" si="2"/>
        <v>0</v>
      </c>
      <c r="I84" s="23"/>
    </row>
    <row r="85" spans="1:9" ht="20.100000000000001" customHeight="1">
      <c r="A85" s="12" t="s">
        <v>1354</v>
      </c>
      <c r="B85" s="12" t="s">
        <v>1355</v>
      </c>
      <c r="C85" s="13" t="s">
        <v>95</v>
      </c>
      <c r="D85" s="14">
        <v>3754</v>
      </c>
      <c r="E85" s="15">
        <v>607.80999999999995</v>
      </c>
      <c r="F85" s="16">
        <f t="shared" si="2"/>
        <v>2281719</v>
      </c>
      <c r="I85" s="22"/>
    </row>
    <row r="86" spans="1:9" ht="30" customHeight="1">
      <c r="A86" s="12" t="s">
        <v>1356</v>
      </c>
      <c r="B86" s="12" t="s">
        <v>1357</v>
      </c>
      <c r="C86" s="13" t="s">
        <v>95</v>
      </c>
      <c r="D86" s="14">
        <v>3478</v>
      </c>
      <c r="E86" s="15">
        <v>607.80999999999995</v>
      </c>
      <c r="F86" s="16">
        <f t="shared" si="2"/>
        <v>2113963</v>
      </c>
      <c r="I86" s="22"/>
    </row>
    <row r="87" spans="1:9" ht="20.100000000000001" customHeight="1">
      <c r="A87" s="12" t="s">
        <v>1358</v>
      </c>
      <c r="B87" s="12" t="s">
        <v>1359</v>
      </c>
      <c r="C87" s="13" t="s">
        <v>95</v>
      </c>
      <c r="D87" s="14">
        <v>0</v>
      </c>
      <c r="E87" s="15">
        <v>684.32</v>
      </c>
      <c r="F87" s="16">
        <f t="shared" si="2"/>
        <v>0</v>
      </c>
      <c r="I87" s="22"/>
    </row>
    <row r="88" spans="1:9" ht="20.100000000000001" customHeight="1">
      <c r="A88" s="12" t="s">
        <v>1360</v>
      </c>
      <c r="B88" s="12" t="s">
        <v>1361</v>
      </c>
      <c r="C88" s="13" t="s">
        <v>95</v>
      </c>
      <c r="D88" s="14">
        <v>33650</v>
      </c>
      <c r="E88" s="15">
        <v>684.32</v>
      </c>
      <c r="F88" s="16">
        <f t="shared" si="2"/>
        <v>23027368</v>
      </c>
      <c r="I88" s="22"/>
    </row>
    <row r="89" spans="1:9" ht="20.100000000000001" customHeight="1">
      <c r="A89" s="12" t="s">
        <v>1362</v>
      </c>
      <c r="B89" s="12" t="s">
        <v>951</v>
      </c>
      <c r="C89" s="13" t="s">
        <v>164</v>
      </c>
      <c r="D89" s="14">
        <v>841745</v>
      </c>
      <c r="E89" s="15">
        <v>6.9</v>
      </c>
      <c r="F89" s="16">
        <f t="shared" si="2"/>
        <v>5808041</v>
      </c>
      <c r="I89" s="22"/>
    </row>
    <row r="90" spans="1:9" ht="20.100000000000001" customHeight="1">
      <c r="A90" s="12" t="s">
        <v>1363</v>
      </c>
      <c r="B90" s="12" t="s">
        <v>953</v>
      </c>
      <c r="C90" s="13" t="s">
        <v>164</v>
      </c>
      <c r="D90" s="14">
        <v>623821</v>
      </c>
      <c r="E90" s="15">
        <v>7</v>
      </c>
      <c r="F90" s="16">
        <f t="shared" si="2"/>
        <v>4366747</v>
      </c>
      <c r="I90" s="22"/>
    </row>
    <row r="91" spans="1:9" ht="20.100000000000001" customHeight="1">
      <c r="A91" s="12" t="s">
        <v>1364</v>
      </c>
      <c r="B91" s="12" t="s">
        <v>476</v>
      </c>
      <c r="C91" s="13" t="s">
        <v>164</v>
      </c>
      <c r="D91" s="14">
        <v>0</v>
      </c>
      <c r="E91" s="15">
        <v>0</v>
      </c>
      <c r="F91" s="16">
        <f t="shared" si="2"/>
        <v>0</v>
      </c>
      <c r="I91" s="22"/>
    </row>
    <row r="92" spans="1:9" ht="20.100000000000001" customHeight="1">
      <c r="A92" s="8" t="s">
        <v>1365</v>
      </c>
      <c r="B92" s="8" t="s">
        <v>1366</v>
      </c>
      <c r="C92" s="9" t="s">
        <v>735</v>
      </c>
      <c r="D92" s="14">
        <v>0</v>
      </c>
      <c r="E92" s="15">
        <v>0</v>
      </c>
      <c r="F92" s="16">
        <f t="shared" si="2"/>
        <v>0</v>
      </c>
      <c r="I92" s="23"/>
    </row>
    <row r="93" spans="1:9" ht="20.100000000000001" customHeight="1">
      <c r="A93" s="12" t="s">
        <v>1367</v>
      </c>
      <c r="B93" s="12" t="s">
        <v>1368</v>
      </c>
      <c r="C93" s="13" t="s">
        <v>1369</v>
      </c>
      <c r="D93" s="14">
        <v>42</v>
      </c>
      <c r="E93" s="15">
        <v>0</v>
      </c>
      <c r="F93" s="16">
        <f t="shared" si="2"/>
        <v>0</v>
      </c>
      <c r="H93" s="24">
        <f>3849+80+1852+8+4821+186+2003+10</f>
        <v>12809</v>
      </c>
      <c r="I93" s="22"/>
    </row>
    <row r="94" spans="1:9" ht="27" customHeight="1">
      <c r="A94" s="12" t="s">
        <v>1370</v>
      </c>
      <c r="B94" s="12" t="s">
        <v>1371</v>
      </c>
      <c r="C94" s="13" t="s">
        <v>1369</v>
      </c>
      <c r="D94" s="14">
        <v>23</v>
      </c>
      <c r="E94" s="15">
        <v>0</v>
      </c>
      <c r="F94" s="16">
        <f t="shared" si="2"/>
        <v>0</v>
      </c>
      <c r="I94" s="22"/>
    </row>
    <row r="95" spans="1:9" ht="20.100000000000001" customHeight="1">
      <c r="A95" s="12" t="s">
        <v>1372</v>
      </c>
      <c r="B95" s="12" t="s">
        <v>1373</v>
      </c>
      <c r="C95" s="13" t="s">
        <v>1369</v>
      </c>
      <c r="D95" s="14">
        <v>0</v>
      </c>
      <c r="E95" s="15">
        <v>0</v>
      </c>
      <c r="F95" s="16">
        <f t="shared" si="2"/>
        <v>0</v>
      </c>
      <c r="I95" s="22"/>
    </row>
    <row r="96" spans="1:9" ht="20.100000000000001" customHeight="1">
      <c r="A96" s="8" t="s">
        <v>1374</v>
      </c>
      <c r="B96" s="8" t="s">
        <v>232</v>
      </c>
      <c r="C96" s="9" t="s">
        <v>735</v>
      </c>
      <c r="D96" s="14">
        <v>0</v>
      </c>
      <c r="E96" s="15">
        <v>0</v>
      </c>
      <c r="F96" s="16">
        <f t="shared" si="2"/>
        <v>0</v>
      </c>
      <c r="I96" s="23"/>
    </row>
    <row r="97" spans="1:9" ht="20.100000000000001" customHeight="1">
      <c r="A97" s="12" t="s">
        <v>1375</v>
      </c>
      <c r="B97" s="12" t="s">
        <v>1376</v>
      </c>
      <c r="C97" s="13" t="s">
        <v>113</v>
      </c>
      <c r="D97" s="14">
        <v>3318</v>
      </c>
      <c r="E97" s="15">
        <v>146.56</v>
      </c>
      <c r="F97" s="16">
        <f t="shared" si="2"/>
        <v>486286</v>
      </c>
      <c r="I97" s="22"/>
    </row>
    <row r="98" spans="1:9" ht="20.100000000000001" customHeight="1">
      <c r="A98" s="12" t="s">
        <v>1377</v>
      </c>
      <c r="B98" s="12" t="s">
        <v>1378</v>
      </c>
      <c r="C98" s="13" t="s">
        <v>113</v>
      </c>
      <c r="D98" s="14">
        <v>139794</v>
      </c>
      <c r="E98" s="15">
        <v>171.65</v>
      </c>
      <c r="F98" s="16">
        <f t="shared" si="2"/>
        <v>23995640</v>
      </c>
      <c r="I98" s="22"/>
    </row>
    <row r="99" spans="1:9" ht="20.100000000000001" customHeight="1">
      <c r="A99" s="12" t="s">
        <v>1379</v>
      </c>
      <c r="B99" s="12" t="s">
        <v>951</v>
      </c>
      <c r="C99" s="13" t="s">
        <v>164</v>
      </c>
      <c r="D99" s="14">
        <v>7104</v>
      </c>
      <c r="E99" s="15">
        <v>6.9</v>
      </c>
      <c r="F99" s="16">
        <f t="shared" si="2"/>
        <v>49018</v>
      </c>
      <c r="I99" s="22"/>
    </row>
    <row r="100" spans="1:9" ht="20.100000000000001" customHeight="1">
      <c r="A100" s="12" t="s">
        <v>1380</v>
      </c>
      <c r="B100" s="12" t="s">
        <v>953</v>
      </c>
      <c r="C100" s="13" t="s">
        <v>164</v>
      </c>
      <c r="D100" s="14">
        <v>83922</v>
      </c>
      <c r="E100" s="15">
        <v>7</v>
      </c>
      <c r="F100" s="16">
        <f t="shared" si="2"/>
        <v>587454</v>
      </c>
      <c r="I100" s="22"/>
    </row>
    <row r="101" spans="1:9" ht="20.100000000000001" customHeight="1">
      <c r="A101" s="12" t="s">
        <v>1381</v>
      </c>
      <c r="B101" s="12" t="s">
        <v>1382</v>
      </c>
      <c r="C101" s="13" t="s">
        <v>113</v>
      </c>
      <c r="D101" s="14">
        <v>56375</v>
      </c>
      <c r="E101" s="15">
        <v>36.1</v>
      </c>
      <c r="F101" s="16">
        <f t="shared" si="2"/>
        <v>2035138</v>
      </c>
      <c r="I101" s="22"/>
    </row>
    <row r="102" spans="1:9" ht="20.100000000000001" customHeight="1">
      <c r="A102" s="12" t="s">
        <v>1383</v>
      </c>
      <c r="B102" s="12" t="s">
        <v>1384</v>
      </c>
      <c r="C102" s="13" t="s">
        <v>113</v>
      </c>
      <c r="D102" s="14">
        <v>136308</v>
      </c>
      <c r="E102" s="15">
        <v>68.11</v>
      </c>
      <c r="F102" s="16">
        <f t="shared" si="2"/>
        <v>9283938</v>
      </c>
      <c r="I102" s="22"/>
    </row>
    <row r="103" spans="1:9" ht="29.1" customHeight="1">
      <c r="A103" s="12" t="s">
        <v>1385</v>
      </c>
      <c r="B103" s="12" t="s">
        <v>1386</v>
      </c>
      <c r="C103" s="13" t="s">
        <v>113</v>
      </c>
      <c r="D103" s="14">
        <v>137408</v>
      </c>
      <c r="E103" s="15">
        <v>75.87</v>
      </c>
      <c r="F103" s="16">
        <f t="shared" ref="F103:F134" si="3">ROUND((D103*E103),0)</f>
        <v>10425145</v>
      </c>
      <c r="I103" s="22"/>
    </row>
    <row r="104" spans="1:9" ht="29.1" customHeight="1">
      <c r="A104" s="12" t="s">
        <v>1387</v>
      </c>
      <c r="B104" s="12" t="s">
        <v>1388</v>
      </c>
      <c r="C104" s="13" t="s">
        <v>113</v>
      </c>
      <c r="D104" s="14">
        <v>137408</v>
      </c>
      <c r="E104" s="15">
        <v>78.239999999999995</v>
      </c>
      <c r="F104" s="16">
        <f t="shared" si="3"/>
        <v>10750802</v>
      </c>
      <c r="I104" s="22"/>
    </row>
    <row r="105" spans="1:9" ht="20.100000000000001" customHeight="1">
      <c r="A105" s="12" t="s">
        <v>1389</v>
      </c>
      <c r="B105" s="12" t="s">
        <v>1390</v>
      </c>
      <c r="C105" s="13" t="s">
        <v>113</v>
      </c>
      <c r="D105" s="14">
        <v>137408</v>
      </c>
      <c r="E105" s="15">
        <v>3.34</v>
      </c>
      <c r="F105" s="16">
        <f t="shared" si="3"/>
        <v>458943</v>
      </c>
      <c r="I105" s="22"/>
    </row>
    <row r="106" spans="1:9" ht="20.100000000000001" customHeight="1">
      <c r="A106" s="8" t="s">
        <v>1391</v>
      </c>
      <c r="B106" s="8" t="s">
        <v>1392</v>
      </c>
      <c r="C106" s="9" t="s">
        <v>735</v>
      </c>
      <c r="D106" s="14">
        <v>0</v>
      </c>
      <c r="E106" s="15">
        <v>0</v>
      </c>
      <c r="F106" s="16">
        <f t="shared" si="3"/>
        <v>0</v>
      </c>
      <c r="I106" s="23"/>
    </row>
    <row r="107" spans="1:9" ht="20.100000000000001" customHeight="1">
      <c r="A107" s="12" t="s">
        <v>1393</v>
      </c>
      <c r="B107" s="12" t="s">
        <v>1394</v>
      </c>
      <c r="C107" s="13" t="s">
        <v>113</v>
      </c>
      <c r="D107" s="14">
        <v>430815</v>
      </c>
      <c r="E107" s="15">
        <v>52.59</v>
      </c>
      <c r="F107" s="16">
        <f t="shared" si="3"/>
        <v>22656561</v>
      </c>
      <c r="I107" s="22"/>
    </row>
    <row r="108" spans="1:9" ht="20.100000000000001" customHeight="1">
      <c r="A108" s="12" t="s">
        <v>1395</v>
      </c>
      <c r="B108" s="12" t="s">
        <v>207</v>
      </c>
      <c r="C108" s="13" t="s">
        <v>113</v>
      </c>
      <c r="D108" s="14">
        <v>509867</v>
      </c>
      <c r="E108" s="15">
        <v>18.54</v>
      </c>
      <c r="F108" s="16">
        <f t="shared" si="3"/>
        <v>9452934</v>
      </c>
      <c r="I108" s="22"/>
    </row>
    <row r="109" spans="1:9" ht="20.100000000000001" customHeight="1">
      <c r="A109" s="12" t="s">
        <v>1396</v>
      </c>
      <c r="B109" s="12" t="s">
        <v>1397</v>
      </c>
      <c r="C109" s="13" t="s">
        <v>140</v>
      </c>
      <c r="D109" s="14">
        <v>9090</v>
      </c>
      <c r="E109" s="15">
        <v>59.92</v>
      </c>
      <c r="F109" s="16">
        <f t="shared" si="3"/>
        <v>544673</v>
      </c>
      <c r="I109" s="22"/>
    </row>
    <row r="110" spans="1:9" ht="20.100000000000001" customHeight="1">
      <c r="A110" s="12" t="s">
        <v>1398</v>
      </c>
      <c r="B110" s="12" t="s">
        <v>1399</v>
      </c>
      <c r="C110" s="13" t="s">
        <v>140</v>
      </c>
      <c r="D110" s="14">
        <v>53535</v>
      </c>
      <c r="E110" s="15">
        <v>51.73</v>
      </c>
      <c r="F110" s="16">
        <f t="shared" si="3"/>
        <v>2769366</v>
      </c>
      <c r="I110" s="22"/>
    </row>
    <row r="111" spans="1:9" ht="20.100000000000001" customHeight="1">
      <c r="A111" s="12" t="s">
        <v>1400</v>
      </c>
      <c r="B111" s="12" t="s">
        <v>1401</v>
      </c>
      <c r="C111" s="13" t="s">
        <v>140</v>
      </c>
      <c r="D111" s="14">
        <v>50077</v>
      </c>
      <c r="E111" s="15">
        <v>43.75</v>
      </c>
      <c r="F111" s="16">
        <f t="shared" si="3"/>
        <v>2190869</v>
      </c>
      <c r="I111" s="22"/>
    </row>
    <row r="112" spans="1:9" ht="20.100000000000001" customHeight="1">
      <c r="A112" s="12" t="s">
        <v>1402</v>
      </c>
      <c r="B112" s="12" t="s">
        <v>1403</v>
      </c>
      <c r="C112" s="13" t="s">
        <v>140</v>
      </c>
      <c r="D112" s="14">
        <v>34599</v>
      </c>
      <c r="E112" s="15">
        <v>17.78</v>
      </c>
      <c r="F112" s="16">
        <f t="shared" si="3"/>
        <v>615170</v>
      </c>
      <c r="I112" s="22"/>
    </row>
    <row r="113" spans="1:9" ht="20.100000000000001" customHeight="1">
      <c r="A113" s="12" t="s">
        <v>1404</v>
      </c>
      <c r="B113" s="12" t="s">
        <v>1405</v>
      </c>
      <c r="C113" s="13" t="s">
        <v>140</v>
      </c>
      <c r="D113" s="14">
        <v>28789</v>
      </c>
      <c r="E113" s="15">
        <v>17.78</v>
      </c>
      <c r="F113" s="16">
        <f t="shared" si="3"/>
        <v>511868</v>
      </c>
      <c r="I113" s="22"/>
    </row>
    <row r="114" spans="1:9" ht="20.100000000000001" customHeight="1">
      <c r="A114" s="12" t="s">
        <v>1406</v>
      </c>
      <c r="B114" s="12" t="s">
        <v>1407</v>
      </c>
      <c r="C114" s="13" t="s">
        <v>140</v>
      </c>
      <c r="D114" s="14">
        <v>227724</v>
      </c>
      <c r="E114" s="15">
        <v>19.399999999999999</v>
      </c>
      <c r="F114" s="16">
        <f t="shared" si="3"/>
        <v>4417846</v>
      </c>
      <c r="I114" s="22"/>
    </row>
    <row r="115" spans="1:9" ht="20.100000000000001" customHeight="1">
      <c r="A115" s="12" t="s">
        <v>1408</v>
      </c>
      <c r="B115" s="12" t="s">
        <v>1409</v>
      </c>
      <c r="C115" s="13" t="s">
        <v>140</v>
      </c>
      <c r="D115" s="14">
        <v>90899</v>
      </c>
      <c r="E115" s="15">
        <v>31.94</v>
      </c>
      <c r="F115" s="16">
        <f t="shared" si="3"/>
        <v>2903314</v>
      </c>
      <c r="I115" s="22"/>
    </row>
    <row r="116" spans="1:9" ht="20.100000000000001" customHeight="1">
      <c r="A116" s="12" t="s">
        <v>1410</v>
      </c>
      <c r="B116" s="12" t="s">
        <v>1411</v>
      </c>
      <c r="C116" s="13" t="s">
        <v>140</v>
      </c>
      <c r="D116" s="14">
        <v>0</v>
      </c>
      <c r="E116" s="15">
        <v>0</v>
      </c>
      <c r="F116" s="16">
        <f t="shared" si="3"/>
        <v>0</v>
      </c>
      <c r="I116" s="22"/>
    </row>
    <row r="117" spans="1:9" ht="20.100000000000001" customHeight="1">
      <c r="A117" s="12" t="s">
        <v>1412</v>
      </c>
      <c r="B117" s="12" t="s">
        <v>1413</v>
      </c>
      <c r="C117" s="13" t="s">
        <v>1414</v>
      </c>
      <c r="D117" s="14">
        <v>0</v>
      </c>
      <c r="E117" s="15">
        <v>0</v>
      </c>
      <c r="F117" s="16">
        <f t="shared" si="3"/>
        <v>0</v>
      </c>
      <c r="I117" s="22"/>
    </row>
    <row r="118" spans="1:9" ht="20.100000000000001" customHeight="1">
      <c r="A118" s="12" t="s">
        <v>1415</v>
      </c>
      <c r="B118" s="12" t="s">
        <v>1416</v>
      </c>
      <c r="C118" s="13" t="s">
        <v>1414</v>
      </c>
      <c r="D118" s="14">
        <v>0</v>
      </c>
      <c r="E118" s="15">
        <v>0</v>
      </c>
      <c r="F118" s="16">
        <f t="shared" si="3"/>
        <v>0</v>
      </c>
      <c r="I118" s="22"/>
    </row>
    <row r="119" spans="1:9" ht="20.100000000000001" customHeight="1">
      <c r="A119" s="12" t="s">
        <v>1417</v>
      </c>
      <c r="B119" s="12" t="s">
        <v>1418</v>
      </c>
      <c r="C119" s="13" t="s">
        <v>1414</v>
      </c>
      <c r="D119" s="14">
        <v>16</v>
      </c>
      <c r="E119" s="15">
        <v>0</v>
      </c>
      <c r="F119" s="16">
        <f t="shared" si="3"/>
        <v>0</v>
      </c>
      <c r="I119" s="22"/>
    </row>
    <row r="120" spans="1:9" ht="20.100000000000001" customHeight="1">
      <c r="A120" s="8" t="s">
        <v>1419</v>
      </c>
      <c r="B120" s="8" t="s">
        <v>1420</v>
      </c>
      <c r="C120" s="9" t="s">
        <v>735</v>
      </c>
      <c r="D120" s="14">
        <v>0</v>
      </c>
      <c r="E120" s="15">
        <v>0</v>
      </c>
      <c r="F120" s="16">
        <f t="shared" si="3"/>
        <v>0</v>
      </c>
      <c r="I120" s="23"/>
    </row>
    <row r="121" spans="1:9" ht="20.100000000000001" customHeight="1">
      <c r="A121" s="12" t="s">
        <v>1421</v>
      </c>
      <c r="B121" s="12" t="s">
        <v>1422</v>
      </c>
      <c r="C121" s="13" t="s">
        <v>113</v>
      </c>
      <c r="D121" s="14">
        <v>342069</v>
      </c>
      <c r="E121" s="15">
        <v>30.17</v>
      </c>
      <c r="F121" s="16">
        <f t="shared" si="3"/>
        <v>10320222</v>
      </c>
      <c r="I121" s="22"/>
    </row>
    <row r="122" spans="1:9" ht="20.100000000000001" customHeight="1">
      <c r="A122" s="8" t="s">
        <v>1423</v>
      </c>
      <c r="B122" s="8" t="s">
        <v>1424</v>
      </c>
      <c r="C122" s="9" t="s">
        <v>735</v>
      </c>
      <c r="D122" s="14">
        <v>0</v>
      </c>
      <c r="E122" s="15">
        <v>0</v>
      </c>
      <c r="F122" s="16">
        <f t="shared" si="3"/>
        <v>0</v>
      </c>
      <c r="I122" s="23"/>
    </row>
    <row r="123" spans="1:9" ht="20.100000000000001" customHeight="1">
      <c r="A123" s="12" t="s">
        <v>1425</v>
      </c>
      <c r="B123" s="12" t="s">
        <v>1426</v>
      </c>
      <c r="C123" s="13" t="s">
        <v>113</v>
      </c>
      <c r="D123" s="14">
        <v>0</v>
      </c>
      <c r="E123" s="15">
        <v>0</v>
      </c>
      <c r="F123" s="16">
        <f t="shared" si="3"/>
        <v>0</v>
      </c>
      <c r="I123" s="22"/>
    </row>
    <row r="124" spans="1:9" ht="20.100000000000001" customHeight="1">
      <c r="A124" s="12" t="s">
        <v>1427</v>
      </c>
      <c r="B124" s="12" t="s">
        <v>1428</v>
      </c>
      <c r="C124" s="13" t="s">
        <v>113</v>
      </c>
      <c r="D124" s="14">
        <v>0</v>
      </c>
      <c r="E124" s="15">
        <v>0</v>
      </c>
      <c r="F124" s="16">
        <f t="shared" si="3"/>
        <v>0</v>
      </c>
      <c r="I124" s="22"/>
    </row>
    <row r="125" spans="1:9" ht="20.100000000000001" customHeight="1">
      <c r="A125" s="8" t="s">
        <v>1429</v>
      </c>
      <c r="B125" s="8" t="s">
        <v>690</v>
      </c>
      <c r="C125" s="9" t="s">
        <v>735</v>
      </c>
      <c r="D125" s="14">
        <v>0</v>
      </c>
      <c r="E125" s="15">
        <v>0</v>
      </c>
      <c r="F125" s="16">
        <f t="shared" si="3"/>
        <v>0</v>
      </c>
      <c r="I125" s="23"/>
    </row>
    <row r="126" spans="1:9" ht="29.1" customHeight="1">
      <c r="A126" s="12" t="s">
        <v>1430</v>
      </c>
      <c r="B126" s="12" t="s">
        <v>1431</v>
      </c>
      <c r="C126" s="13" t="s">
        <v>65</v>
      </c>
      <c r="D126" s="14">
        <v>0</v>
      </c>
      <c r="E126" s="15">
        <v>0</v>
      </c>
      <c r="F126" s="16">
        <f t="shared" si="3"/>
        <v>0</v>
      </c>
      <c r="I126" s="22"/>
    </row>
    <row r="127" spans="1:9" ht="53.1" customHeight="1">
      <c r="A127" s="12" t="s">
        <v>1432</v>
      </c>
      <c r="B127" s="12" t="s">
        <v>1433</v>
      </c>
      <c r="C127" s="13" t="s">
        <v>65</v>
      </c>
      <c r="D127" s="14">
        <v>0</v>
      </c>
      <c r="E127" s="15">
        <v>0</v>
      </c>
      <c r="F127" s="16">
        <f t="shared" si="3"/>
        <v>0</v>
      </c>
      <c r="I127" s="22"/>
    </row>
    <row r="128" spans="1:9" ht="20.100000000000001" customHeight="1">
      <c r="A128" s="8" t="s">
        <v>1434</v>
      </c>
      <c r="B128" s="8" t="s">
        <v>1435</v>
      </c>
      <c r="C128" s="9" t="s">
        <v>735</v>
      </c>
      <c r="D128" s="14">
        <v>0</v>
      </c>
      <c r="E128" s="15">
        <v>0</v>
      </c>
      <c r="F128" s="16">
        <f t="shared" si="3"/>
        <v>0</v>
      </c>
      <c r="I128" s="23"/>
    </row>
    <row r="129" spans="1:9" ht="20.100000000000001" customHeight="1">
      <c r="A129" s="12" t="s">
        <v>1436</v>
      </c>
      <c r="B129" s="12" t="s">
        <v>1437</v>
      </c>
      <c r="C129" s="13" t="s">
        <v>1438</v>
      </c>
      <c r="D129" s="14">
        <v>80</v>
      </c>
      <c r="E129" s="15">
        <v>0</v>
      </c>
      <c r="F129" s="16">
        <f t="shared" si="3"/>
        <v>0</v>
      </c>
      <c r="I129" s="22"/>
    </row>
    <row r="130" spans="1:9" ht="20.100000000000001" customHeight="1">
      <c r="A130" s="12" t="s">
        <v>1439</v>
      </c>
      <c r="B130" s="12" t="s">
        <v>1440</v>
      </c>
      <c r="C130" s="13" t="s">
        <v>1438</v>
      </c>
      <c r="D130" s="14">
        <v>548</v>
      </c>
      <c r="E130" s="15">
        <v>0</v>
      </c>
      <c r="F130" s="16">
        <f t="shared" si="3"/>
        <v>0</v>
      </c>
      <c r="I130" s="22"/>
    </row>
    <row r="131" spans="1:9" ht="20.100000000000001" customHeight="1">
      <c r="A131" s="12" t="s">
        <v>1441</v>
      </c>
      <c r="B131" s="12" t="s">
        <v>1442</v>
      </c>
      <c r="C131" s="13" t="s">
        <v>140</v>
      </c>
      <c r="D131" s="14">
        <v>400</v>
      </c>
      <c r="E131" s="15">
        <v>0</v>
      </c>
      <c r="F131" s="16">
        <f t="shared" si="3"/>
        <v>0</v>
      </c>
      <c r="I131" s="22"/>
    </row>
    <row r="132" spans="1:9" ht="20.100000000000001" customHeight="1">
      <c r="A132" s="8" t="s">
        <v>1443</v>
      </c>
      <c r="B132" s="8" t="s">
        <v>1444</v>
      </c>
      <c r="C132" s="9" t="s">
        <v>735</v>
      </c>
      <c r="D132" s="14">
        <v>0</v>
      </c>
      <c r="E132" s="15">
        <v>0</v>
      </c>
      <c r="F132" s="16">
        <f t="shared" si="3"/>
        <v>0</v>
      </c>
      <c r="I132" s="23"/>
    </row>
    <row r="133" spans="1:9" ht="20.100000000000001" customHeight="1">
      <c r="A133" s="12" t="s">
        <v>1445</v>
      </c>
      <c r="B133" s="12" t="s">
        <v>1446</v>
      </c>
      <c r="C133" s="13" t="s">
        <v>140</v>
      </c>
      <c r="D133" s="14">
        <v>0</v>
      </c>
      <c r="E133" s="15">
        <v>0</v>
      </c>
      <c r="F133" s="16">
        <f t="shared" si="3"/>
        <v>0</v>
      </c>
      <c r="I133" s="22"/>
    </row>
    <row r="134" spans="1:9" ht="20.100000000000001" customHeight="1">
      <c r="A134" s="12" t="s">
        <v>1447</v>
      </c>
      <c r="B134" s="12" t="s">
        <v>1448</v>
      </c>
      <c r="C134" s="13" t="s">
        <v>95</v>
      </c>
      <c r="D134" s="14">
        <v>0</v>
      </c>
      <c r="E134" s="15">
        <v>0</v>
      </c>
      <c r="F134" s="16">
        <f t="shared" si="3"/>
        <v>0</v>
      </c>
      <c r="I134" s="22"/>
    </row>
    <row r="135" spans="1:9" ht="20.100000000000001" customHeight="1">
      <c r="A135" s="8" t="s">
        <v>1449</v>
      </c>
      <c r="B135" s="8" t="s">
        <v>1450</v>
      </c>
      <c r="C135" s="9" t="s">
        <v>735</v>
      </c>
      <c r="D135" s="14">
        <v>0</v>
      </c>
      <c r="E135" s="15">
        <v>0</v>
      </c>
      <c r="F135" s="16">
        <f t="shared" ref="F135:F167" si="4">ROUND((D135*E135),0)</f>
        <v>0</v>
      </c>
      <c r="I135" s="23"/>
    </row>
    <row r="136" spans="1:9" ht="20.100000000000001" customHeight="1">
      <c r="A136" s="12" t="s">
        <v>1451</v>
      </c>
      <c r="B136" s="12" t="s">
        <v>1452</v>
      </c>
      <c r="C136" s="13" t="s">
        <v>95</v>
      </c>
      <c r="D136" s="14">
        <v>2120</v>
      </c>
      <c r="E136" s="15">
        <v>0</v>
      </c>
      <c r="F136" s="16">
        <f t="shared" si="4"/>
        <v>0</v>
      </c>
      <c r="I136" s="22"/>
    </row>
    <row r="137" spans="1:9" ht="20.100000000000001" customHeight="1">
      <c r="A137" s="12" t="s">
        <v>1453</v>
      </c>
      <c r="B137" s="12" t="s">
        <v>1454</v>
      </c>
      <c r="C137" s="13" t="s">
        <v>95</v>
      </c>
      <c r="D137" s="14">
        <v>640</v>
      </c>
      <c r="E137" s="15">
        <v>0</v>
      </c>
      <c r="F137" s="16">
        <f t="shared" si="4"/>
        <v>0</v>
      </c>
      <c r="I137" s="22"/>
    </row>
    <row r="138" spans="1:9" ht="20.100000000000001" customHeight="1">
      <c r="A138" s="12" t="s">
        <v>1455</v>
      </c>
      <c r="B138" s="12" t="s">
        <v>1456</v>
      </c>
      <c r="C138" s="13" t="s">
        <v>95</v>
      </c>
      <c r="D138" s="14">
        <v>3400</v>
      </c>
      <c r="E138" s="15">
        <v>0</v>
      </c>
      <c r="F138" s="16">
        <f t="shared" si="4"/>
        <v>0</v>
      </c>
      <c r="I138" s="22"/>
    </row>
    <row r="139" spans="1:9" ht="20.100000000000001" customHeight="1">
      <c r="A139" s="12" t="s">
        <v>1457</v>
      </c>
      <c r="B139" s="12" t="s">
        <v>1458</v>
      </c>
      <c r="C139" s="13" t="s">
        <v>164</v>
      </c>
      <c r="D139" s="14">
        <v>9250</v>
      </c>
      <c r="E139" s="15">
        <v>0</v>
      </c>
      <c r="F139" s="16">
        <f t="shared" si="4"/>
        <v>0</v>
      </c>
      <c r="I139" s="22"/>
    </row>
    <row r="140" spans="1:9" ht="20.100000000000001" customHeight="1">
      <c r="A140" s="12" t="s">
        <v>1459</v>
      </c>
      <c r="B140" s="20" t="s">
        <v>1460</v>
      </c>
      <c r="C140" s="13" t="s">
        <v>140</v>
      </c>
      <c r="D140" s="14">
        <v>1680</v>
      </c>
      <c r="E140" s="15">
        <v>0</v>
      </c>
      <c r="F140" s="16">
        <f t="shared" si="4"/>
        <v>0</v>
      </c>
      <c r="I140" s="22"/>
    </row>
    <row r="141" spans="1:9" ht="20.100000000000001" customHeight="1">
      <c r="A141" s="12" t="s">
        <v>1461</v>
      </c>
      <c r="B141" s="12" t="s">
        <v>1448</v>
      </c>
      <c r="C141" s="13" t="s">
        <v>95</v>
      </c>
      <c r="D141" s="14">
        <v>0</v>
      </c>
      <c r="E141" s="15">
        <v>0</v>
      </c>
      <c r="F141" s="16">
        <f t="shared" si="4"/>
        <v>0</v>
      </c>
      <c r="I141" s="22"/>
    </row>
    <row r="142" spans="1:9" ht="20.100000000000001" customHeight="1">
      <c r="A142" s="12" t="s">
        <v>1462</v>
      </c>
      <c r="B142" s="12" t="s">
        <v>493</v>
      </c>
      <c r="C142" s="13" t="s">
        <v>140</v>
      </c>
      <c r="D142" s="14">
        <v>13164</v>
      </c>
      <c r="E142" s="15">
        <v>0</v>
      </c>
      <c r="F142" s="16">
        <f t="shared" si="4"/>
        <v>0</v>
      </c>
      <c r="I142" s="22"/>
    </row>
    <row r="143" spans="1:9" ht="20.100000000000001" customHeight="1">
      <c r="A143" s="8" t="s">
        <v>1463</v>
      </c>
      <c r="B143" s="8" t="s">
        <v>1464</v>
      </c>
      <c r="C143" s="9" t="s">
        <v>735</v>
      </c>
      <c r="D143" s="14">
        <v>0</v>
      </c>
      <c r="E143" s="15">
        <v>0</v>
      </c>
      <c r="F143" s="16">
        <f t="shared" si="4"/>
        <v>0</v>
      </c>
      <c r="I143" s="23"/>
    </row>
    <row r="144" spans="1:9" ht="20.100000000000001" customHeight="1">
      <c r="A144" s="12" t="s">
        <v>1465</v>
      </c>
      <c r="B144" s="12" t="s">
        <v>1466</v>
      </c>
      <c r="C144" s="13" t="s">
        <v>140</v>
      </c>
      <c r="D144" s="14">
        <v>30768</v>
      </c>
      <c r="E144" s="15">
        <v>0</v>
      </c>
      <c r="F144" s="16">
        <f t="shared" si="4"/>
        <v>0</v>
      </c>
      <c r="I144" s="22"/>
    </row>
    <row r="145" spans="1:9" ht="20.100000000000001" customHeight="1">
      <c r="A145" s="12" t="s">
        <v>1467</v>
      </c>
      <c r="B145" s="12" t="s">
        <v>1468</v>
      </c>
      <c r="C145" s="13" t="s">
        <v>95</v>
      </c>
      <c r="D145" s="14">
        <v>10460</v>
      </c>
      <c r="E145" s="15">
        <v>0</v>
      </c>
      <c r="F145" s="16">
        <f t="shared" si="4"/>
        <v>0</v>
      </c>
      <c r="I145" s="22"/>
    </row>
    <row r="146" spans="1:9" ht="20.100000000000001" customHeight="1">
      <c r="A146" s="12" t="s">
        <v>1469</v>
      </c>
      <c r="B146" s="12" t="s">
        <v>1470</v>
      </c>
      <c r="C146" s="13" t="s">
        <v>95</v>
      </c>
      <c r="D146" s="14">
        <v>524</v>
      </c>
      <c r="E146" s="15">
        <v>0</v>
      </c>
      <c r="F146" s="16">
        <f t="shared" si="4"/>
        <v>0</v>
      </c>
      <c r="I146" s="22"/>
    </row>
    <row r="147" spans="1:9" ht="20.100000000000001" customHeight="1">
      <c r="A147" s="8" t="s">
        <v>1471</v>
      </c>
      <c r="B147" s="8" t="s">
        <v>1472</v>
      </c>
      <c r="C147" s="9" t="s">
        <v>735</v>
      </c>
      <c r="D147" s="14">
        <v>0</v>
      </c>
      <c r="E147" s="15">
        <v>0</v>
      </c>
      <c r="F147" s="16">
        <f t="shared" si="4"/>
        <v>0</v>
      </c>
      <c r="I147" s="23"/>
    </row>
    <row r="148" spans="1:9" ht="20.100000000000001" customHeight="1">
      <c r="A148" s="12" t="s">
        <v>1473</v>
      </c>
      <c r="B148" s="12" t="s">
        <v>1466</v>
      </c>
      <c r="C148" s="13" t="s">
        <v>140</v>
      </c>
      <c r="D148" s="14">
        <v>110400</v>
      </c>
      <c r="E148" s="15">
        <v>0</v>
      </c>
      <c r="F148" s="16">
        <f t="shared" si="4"/>
        <v>0</v>
      </c>
      <c r="I148" s="22"/>
    </row>
    <row r="149" spans="1:9" ht="20.100000000000001" customHeight="1">
      <c r="A149" s="12" t="s">
        <v>1474</v>
      </c>
      <c r="B149" s="12" t="s">
        <v>1468</v>
      </c>
      <c r="C149" s="13" t="s">
        <v>95</v>
      </c>
      <c r="D149" s="14">
        <v>37432</v>
      </c>
      <c r="E149" s="15">
        <v>0</v>
      </c>
      <c r="F149" s="16">
        <f t="shared" si="4"/>
        <v>0</v>
      </c>
      <c r="I149" s="22"/>
    </row>
    <row r="150" spans="1:9" ht="20.100000000000001" customHeight="1">
      <c r="A150" s="12" t="s">
        <v>1475</v>
      </c>
      <c r="B150" s="12" t="s">
        <v>1470</v>
      </c>
      <c r="C150" s="13" t="s">
        <v>95</v>
      </c>
      <c r="D150" s="14">
        <v>1872</v>
      </c>
      <c r="E150" s="15">
        <v>0</v>
      </c>
      <c r="F150" s="16">
        <f t="shared" si="4"/>
        <v>0</v>
      </c>
      <c r="I150" s="22"/>
    </row>
    <row r="151" spans="1:9" ht="20.100000000000001" customHeight="1">
      <c r="A151" s="12" t="s">
        <v>1476</v>
      </c>
      <c r="B151" s="12" t="s">
        <v>1477</v>
      </c>
      <c r="C151" s="13" t="s">
        <v>95</v>
      </c>
      <c r="D151" s="14">
        <v>1688</v>
      </c>
      <c r="E151" s="15">
        <v>0</v>
      </c>
      <c r="F151" s="16">
        <f t="shared" si="4"/>
        <v>0</v>
      </c>
      <c r="I151" s="22"/>
    </row>
    <row r="152" spans="1:9" ht="20.100000000000001" customHeight="1">
      <c r="A152" s="8" t="s">
        <v>1478</v>
      </c>
      <c r="B152" s="8" t="s">
        <v>1479</v>
      </c>
      <c r="C152" s="9" t="s">
        <v>735</v>
      </c>
      <c r="D152" s="14">
        <v>0</v>
      </c>
      <c r="E152" s="15">
        <v>0</v>
      </c>
      <c r="F152" s="16">
        <f t="shared" si="4"/>
        <v>0</v>
      </c>
      <c r="I152" s="23"/>
    </row>
    <row r="153" spans="1:9" ht="30" customHeight="1">
      <c r="A153" s="12" t="s">
        <v>1480</v>
      </c>
      <c r="B153" s="12" t="s">
        <v>1481</v>
      </c>
      <c r="C153" s="13" t="s">
        <v>140</v>
      </c>
      <c r="D153" s="14">
        <v>640</v>
      </c>
      <c r="E153" s="15">
        <v>0</v>
      </c>
      <c r="F153" s="16">
        <f t="shared" si="4"/>
        <v>0</v>
      </c>
      <c r="I153" s="22"/>
    </row>
    <row r="154" spans="1:9" ht="20.100000000000001" customHeight="1">
      <c r="A154" s="8" t="s">
        <v>1482</v>
      </c>
      <c r="B154" s="8" t="s">
        <v>1483</v>
      </c>
      <c r="C154" s="9" t="s">
        <v>735</v>
      </c>
      <c r="D154" s="14">
        <v>0</v>
      </c>
      <c r="E154" s="15">
        <v>0</v>
      </c>
      <c r="F154" s="16">
        <f t="shared" si="4"/>
        <v>0</v>
      </c>
      <c r="I154" s="23"/>
    </row>
    <row r="155" spans="1:9" ht="20.100000000000001" customHeight="1">
      <c r="A155" s="12" t="s">
        <v>1484</v>
      </c>
      <c r="B155" s="12" t="s">
        <v>1485</v>
      </c>
      <c r="C155" s="13" t="s">
        <v>164</v>
      </c>
      <c r="D155" s="14">
        <v>0</v>
      </c>
      <c r="E155" s="15">
        <v>0</v>
      </c>
      <c r="F155" s="16">
        <f t="shared" si="4"/>
        <v>0</v>
      </c>
      <c r="I155" s="22"/>
    </row>
    <row r="156" spans="1:9" ht="20.100000000000001" customHeight="1">
      <c r="A156" s="25" t="s">
        <v>1486</v>
      </c>
      <c r="B156" s="26" t="s">
        <v>1487</v>
      </c>
      <c r="C156" s="27" t="s">
        <v>164</v>
      </c>
      <c r="D156" s="28">
        <v>0</v>
      </c>
      <c r="E156" s="15">
        <v>0</v>
      </c>
      <c r="F156" s="16">
        <f t="shared" si="4"/>
        <v>0</v>
      </c>
      <c r="I156" s="22"/>
    </row>
    <row r="157" spans="1:9" ht="20.100000000000001" customHeight="1">
      <c r="A157" s="25" t="s">
        <v>1488</v>
      </c>
      <c r="B157" s="26" t="s">
        <v>1489</v>
      </c>
      <c r="C157" s="27" t="s">
        <v>164</v>
      </c>
      <c r="D157" s="28">
        <v>0</v>
      </c>
      <c r="E157" s="15">
        <v>0</v>
      </c>
      <c r="F157" s="16">
        <f t="shared" si="4"/>
        <v>0</v>
      </c>
      <c r="I157" s="22"/>
    </row>
    <row r="158" spans="1:9" ht="20.100000000000001" customHeight="1">
      <c r="A158" s="25" t="s">
        <v>1490</v>
      </c>
      <c r="B158" s="26" t="s">
        <v>1491</v>
      </c>
      <c r="C158" s="27" t="s">
        <v>164</v>
      </c>
      <c r="D158" s="28">
        <v>0</v>
      </c>
      <c r="E158" s="15">
        <v>0</v>
      </c>
      <c r="F158" s="16">
        <f t="shared" si="4"/>
        <v>0</v>
      </c>
      <c r="I158" s="22"/>
    </row>
    <row r="159" spans="1:9" ht="20.100000000000001" customHeight="1">
      <c r="A159" s="12" t="s">
        <v>1492</v>
      </c>
      <c r="B159" s="12" t="s">
        <v>1493</v>
      </c>
      <c r="C159" s="13" t="s">
        <v>164</v>
      </c>
      <c r="D159" s="14">
        <v>0</v>
      </c>
      <c r="E159" s="15">
        <v>0</v>
      </c>
      <c r="F159" s="16">
        <f t="shared" si="4"/>
        <v>0</v>
      </c>
      <c r="I159" s="22"/>
    </row>
    <row r="160" spans="1:9" ht="20.100000000000001" customHeight="1">
      <c r="A160" s="25" t="s">
        <v>1494</v>
      </c>
      <c r="B160" s="26" t="s">
        <v>1495</v>
      </c>
      <c r="C160" s="27" t="s">
        <v>735</v>
      </c>
      <c r="D160" s="28">
        <v>0</v>
      </c>
      <c r="E160" s="15">
        <v>0</v>
      </c>
      <c r="F160" s="16">
        <f t="shared" si="4"/>
        <v>0</v>
      </c>
      <c r="I160" s="22"/>
    </row>
    <row r="161" spans="1:9" ht="27.9" customHeight="1">
      <c r="A161" s="25" t="s">
        <v>1496</v>
      </c>
      <c r="B161" s="26" t="s">
        <v>1497</v>
      </c>
      <c r="C161" s="27" t="s">
        <v>140</v>
      </c>
      <c r="D161" s="28">
        <v>0</v>
      </c>
      <c r="E161" s="15">
        <v>0</v>
      </c>
      <c r="F161" s="16">
        <f t="shared" si="4"/>
        <v>0</v>
      </c>
      <c r="I161" s="22"/>
    </row>
    <row r="162" spans="1:9" ht="20.100000000000001" customHeight="1">
      <c r="A162" s="25" t="s">
        <v>1498</v>
      </c>
      <c r="B162" s="26" t="s">
        <v>1499</v>
      </c>
      <c r="C162" s="27" t="s">
        <v>351</v>
      </c>
      <c r="D162" s="28">
        <v>0</v>
      </c>
      <c r="E162" s="15">
        <v>0</v>
      </c>
      <c r="F162" s="16">
        <f t="shared" si="4"/>
        <v>0</v>
      </c>
      <c r="I162" s="22"/>
    </row>
    <row r="163" spans="1:9" ht="20.100000000000001" customHeight="1">
      <c r="A163" s="25" t="s">
        <v>1500</v>
      </c>
      <c r="B163" s="26" t="s">
        <v>1501</v>
      </c>
      <c r="C163" s="27" t="s">
        <v>351</v>
      </c>
      <c r="D163" s="28">
        <v>0</v>
      </c>
      <c r="E163" s="15">
        <v>0</v>
      </c>
      <c r="F163" s="16">
        <f t="shared" si="4"/>
        <v>0</v>
      </c>
      <c r="I163" s="22"/>
    </row>
    <row r="164" spans="1:9" ht="20.100000000000001" customHeight="1">
      <c r="A164" s="12" t="s">
        <v>1502</v>
      </c>
      <c r="B164" s="12" t="s">
        <v>1503</v>
      </c>
      <c r="C164" s="13" t="s">
        <v>351</v>
      </c>
      <c r="D164" s="14">
        <v>0</v>
      </c>
      <c r="E164" s="15">
        <v>0</v>
      </c>
      <c r="F164" s="16">
        <f t="shared" si="4"/>
        <v>0</v>
      </c>
      <c r="I164" s="22"/>
    </row>
    <row r="165" spans="1:9" ht="20.100000000000001" customHeight="1">
      <c r="A165" s="12" t="s">
        <v>1504</v>
      </c>
      <c r="B165" s="12" t="s">
        <v>1505</v>
      </c>
      <c r="C165" s="13" t="s">
        <v>351</v>
      </c>
      <c r="D165" s="14">
        <v>0</v>
      </c>
      <c r="E165" s="15">
        <v>0</v>
      </c>
      <c r="F165" s="16">
        <f t="shared" si="4"/>
        <v>0</v>
      </c>
      <c r="I165" s="22"/>
    </row>
    <row r="166" spans="1:9" ht="20.100000000000001" customHeight="1">
      <c r="A166" s="25" t="s">
        <v>1506</v>
      </c>
      <c r="B166" s="26" t="s">
        <v>1507</v>
      </c>
      <c r="C166" s="27"/>
      <c r="D166" s="28">
        <v>0</v>
      </c>
      <c r="E166" s="15">
        <v>0</v>
      </c>
      <c r="F166" s="16">
        <f t="shared" si="4"/>
        <v>0</v>
      </c>
      <c r="I166" s="22"/>
    </row>
    <row r="167" spans="1:9" ht="20.100000000000001" customHeight="1">
      <c r="A167" s="25" t="s">
        <v>1508</v>
      </c>
      <c r="B167" s="26" t="s">
        <v>1509</v>
      </c>
      <c r="C167" s="27" t="s">
        <v>625</v>
      </c>
      <c r="D167" s="28">
        <v>0</v>
      </c>
      <c r="E167" s="15">
        <v>0</v>
      </c>
      <c r="F167" s="16">
        <f t="shared" si="4"/>
        <v>0</v>
      </c>
      <c r="I167" s="22"/>
    </row>
    <row r="168" spans="1:9" ht="20.100000000000001" customHeight="1">
      <c r="A168" s="493" t="s">
        <v>1510</v>
      </c>
      <c r="B168" s="494"/>
      <c r="C168" s="494"/>
      <c r="D168" s="29"/>
      <c r="E168" s="29"/>
      <c r="F168" s="29">
        <f>SUM(F6:F167)</f>
        <v>823664149</v>
      </c>
    </row>
    <row r="169" spans="1:9" ht="14.4">
      <c r="A169" s="30"/>
      <c r="B169" s="30"/>
      <c r="C169" s="30"/>
      <c r="D169" s="31"/>
      <c r="E169" s="30"/>
    </row>
  </sheetData>
  <mergeCells count="3">
    <mergeCell ref="A1:F1"/>
    <mergeCell ref="A3:F3"/>
    <mergeCell ref="A168:C168"/>
  </mergeCells>
  <phoneticPr fontId="98" type="noConversion"/>
  <pageMargins left="0.69930555555555596" right="0.69930555555555596" top="0.75" bottom="0.75" header="0.3" footer="0.3"/>
  <pageSetup paperSize="9" orientation="portrait"/>
  <headerFooter>
    <oddFooter>&amp;C第 &amp;P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89"/>
  <sheetViews>
    <sheetView topLeftCell="A31" zoomScale="40" zoomScaleNormal="40" workbookViewId="0">
      <pane xSplit="2" topLeftCell="C1" activePane="topRight" state="frozen"/>
      <selection pane="topRight" activeCell="Q76" sqref="Q76"/>
    </sheetView>
  </sheetViews>
  <sheetFormatPr defaultColWidth="9.109375" defaultRowHeight="12"/>
  <cols>
    <col min="1" max="1" width="18.77734375" style="495" customWidth="1"/>
    <col min="2" max="2" width="26.88671875" style="495" customWidth="1"/>
    <col min="3" max="3" width="6.33203125" style="517" customWidth="1"/>
    <col min="4" max="4" width="11.6640625" style="526" customWidth="1"/>
    <col min="5" max="5" width="10.44140625" style="495" customWidth="1"/>
    <col min="6" max="6" width="15.77734375" style="495" customWidth="1"/>
    <col min="7" max="7" width="13.21875" style="495" customWidth="1"/>
    <col min="8" max="8" width="15.77734375" style="495" customWidth="1"/>
    <col min="9" max="9" width="22.88671875" style="515" customWidth="1"/>
    <col min="10" max="10" width="62.21875" style="516" customWidth="1"/>
    <col min="11" max="11" width="19.77734375" style="517" customWidth="1"/>
    <col min="12" max="16384" width="9.109375" style="495"/>
  </cols>
  <sheetData>
    <row r="1" spans="1:11" ht="55.8" customHeight="1">
      <c r="A1" s="499" t="s">
        <v>1527</v>
      </c>
      <c r="B1" s="499"/>
      <c r="C1" s="499"/>
      <c r="D1" s="499"/>
      <c r="E1" s="499"/>
      <c r="F1" s="499"/>
      <c r="G1" s="549"/>
      <c r="H1" s="499"/>
      <c r="I1" s="499"/>
      <c r="J1" s="499"/>
      <c r="K1" s="499"/>
    </row>
    <row r="2" spans="1:11" ht="22.8" customHeight="1">
      <c r="A2" s="550" t="s">
        <v>54</v>
      </c>
      <c r="B2" s="550"/>
      <c r="C2" s="550"/>
      <c r="D2" s="550"/>
      <c r="E2" s="550"/>
      <c r="F2" s="550"/>
      <c r="G2" s="551"/>
      <c r="H2" s="551"/>
      <c r="I2" s="552"/>
      <c r="J2" s="553"/>
      <c r="K2" s="554"/>
    </row>
    <row r="3" spans="1:11" ht="19.8" customHeight="1" thickBot="1">
      <c r="A3" s="501" t="s">
        <v>55</v>
      </c>
      <c r="B3" s="501"/>
      <c r="C3" s="503"/>
      <c r="D3" s="555"/>
      <c r="E3" s="502"/>
      <c r="F3" s="502"/>
      <c r="G3" s="556"/>
      <c r="H3" s="502"/>
      <c r="I3" s="501"/>
      <c r="J3" s="501"/>
      <c r="K3" s="503" t="s">
        <v>39</v>
      </c>
    </row>
    <row r="4" spans="1:11">
      <c r="A4" s="369" t="s">
        <v>56</v>
      </c>
      <c r="B4" s="371" t="s">
        <v>57</v>
      </c>
      <c r="C4" s="371" t="s">
        <v>58</v>
      </c>
      <c r="D4" s="557" t="s">
        <v>59</v>
      </c>
      <c r="E4" s="558" t="s">
        <v>1528</v>
      </c>
      <c r="F4" s="371" t="s">
        <v>1529</v>
      </c>
      <c r="G4" s="375" t="s">
        <v>1530</v>
      </c>
      <c r="H4" s="377" t="s">
        <v>1531</v>
      </c>
      <c r="I4" s="377" t="s">
        <v>62</v>
      </c>
      <c r="J4" s="377" t="s">
        <v>63</v>
      </c>
      <c r="K4" s="559" t="s">
        <v>12</v>
      </c>
    </row>
    <row r="5" spans="1:11">
      <c r="A5" s="370"/>
      <c r="B5" s="372"/>
      <c r="C5" s="372"/>
      <c r="D5" s="560"/>
      <c r="E5" s="561"/>
      <c r="F5" s="372"/>
      <c r="G5" s="376"/>
      <c r="H5" s="376"/>
      <c r="I5" s="376"/>
      <c r="J5" s="376"/>
      <c r="K5" s="562"/>
    </row>
    <row r="6" spans="1:11" s="519" customFormat="1">
      <c r="A6" s="541">
        <v>100</v>
      </c>
      <c r="B6" s="542" t="s">
        <v>64</v>
      </c>
      <c r="C6" s="289"/>
      <c r="D6" s="543"/>
      <c r="E6" s="544"/>
      <c r="F6" s="289"/>
      <c r="G6" s="313"/>
      <c r="H6" s="313"/>
      <c r="I6" s="294"/>
      <c r="J6" s="294"/>
      <c r="K6" s="535"/>
    </row>
    <row r="7" spans="1:11" s="519" customFormat="1">
      <c r="A7" s="536">
        <v>102</v>
      </c>
      <c r="B7" s="537" t="s">
        <v>66</v>
      </c>
      <c r="C7" s="538"/>
      <c r="D7" s="539"/>
      <c r="E7" s="544"/>
      <c r="F7" s="289"/>
      <c r="G7" s="313"/>
      <c r="H7" s="313"/>
      <c r="I7" s="294"/>
      <c r="J7" s="294"/>
      <c r="K7" s="535"/>
    </row>
    <row r="8" spans="1:11" s="519" customFormat="1" ht="75" customHeight="1">
      <c r="A8" s="536" t="s">
        <v>67</v>
      </c>
      <c r="B8" s="537" t="s">
        <v>68</v>
      </c>
      <c r="C8" s="538" t="s">
        <v>65</v>
      </c>
      <c r="D8" s="539">
        <v>1</v>
      </c>
      <c r="E8" s="548">
        <v>21549</v>
      </c>
      <c r="F8" s="312">
        <f>E8*D8</f>
        <v>21549</v>
      </c>
      <c r="G8" s="563">
        <v>21549</v>
      </c>
      <c r="H8" s="343">
        <f>D8*G8</f>
        <v>21549</v>
      </c>
      <c r="I8" s="296" t="s">
        <v>69</v>
      </c>
      <c r="J8" s="296" t="s">
        <v>70</v>
      </c>
      <c r="K8" s="564"/>
    </row>
    <row r="9" spans="1:11" s="519" customFormat="1" ht="139.94999999999999" customHeight="1">
      <c r="A9" s="536" t="s">
        <v>71</v>
      </c>
      <c r="B9" s="537" t="s">
        <v>72</v>
      </c>
      <c r="C9" s="538" t="s">
        <v>65</v>
      </c>
      <c r="D9" s="539">
        <v>1</v>
      </c>
      <c r="E9" s="548">
        <v>82715</v>
      </c>
      <c r="F9" s="312">
        <f>E9*D9</f>
        <v>82715</v>
      </c>
      <c r="G9" s="563">
        <v>82715</v>
      </c>
      <c r="H9" s="343">
        <f>D9*G9</f>
        <v>82715</v>
      </c>
      <c r="I9" s="296" t="s">
        <v>1536</v>
      </c>
      <c r="J9" s="296" t="s">
        <v>73</v>
      </c>
      <c r="K9" s="564"/>
    </row>
    <row r="10" spans="1:11" s="519" customFormat="1">
      <c r="A10" s="536" t="s">
        <v>74</v>
      </c>
      <c r="B10" s="537" t="s">
        <v>75</v>
      </c>
      <c r="C10" s="538"/>
      <c r="D10" s="539"/>
      <c r="E10" s="544"/>
      <c r="F10" s="289"/>
      <c r="G10" s="520"/>
      <c r="H10" s="344"/>
      <c r="I10" s="294"/>
      <c r="J10" s="294"/>
      <c r="K10" s="535"/>
    </row>
    <row r="11" spans="1:11" s="519" customFormat="1" ht="108">
      <c r="A11" s="536" t="s">
        <v>76</v>
      </c>
      <c r="B11" s="537" t="s">
        <v>77</v>
      </c>
      <c r="C11" s="538" t="s">
        <v>78</v>
      </c>
      <c r="D11" s="539">
        <v>90</v>
      </c>
      <c r="E11" s="547">
        <v>530</v>
      </c>
      <c r="F11" s="312">
        <f>E11*D11</f>
        <v>47700</v>
      </c>
      <c r="G11" s="522"/>
      <c r="H11" s="343">
        <f>D11*G11</f>
        <v>0</v>
      </c>
      <c r="I11" s="296" t="s">
        <v>79</v>
      </c>
      <c r="J11" s="296" t="s">
        <v>1511</v>
      </c>
      <c r="K11" s="535"/>
    </row>
    <row r="12" spans="1:11" s="519" customFormat="1">
      <c r="A12" s="536">
        <v>104</v>
      </c>
      <c r="B12" s="537" t="s">
        <v>81</v>
      </c>
      <c r="C12" s="538"/>
      <c r="D12" s="539"/>
      <c r="E12" s="544"/>
      <c r="F12" s="289"/>
      <c r="G12" s="520"/>
      <c r="H12" s="344"/>
      <c r="I12" s="294"/>
      <c r="J12" s="294"/>
      <c r="K12" s="535"/>
    </row>
    <row r="13" spans="1:11" s="519" customFormat="1" ht="24">
      <c r="A13" s="536" t="s">
        <v>82</v>
      </c>
      <c r="B13" s="537" t="s">
        <v>1537</v>
      </c>
      <c r="C13" s="538" t="s">
        <v>65</v>
      </c>
      <c r="D13" s="539">
        <v>1</v>
      </c>
      <c r="E13" s="547">
        <v>14745</v>
      </c>
      <c r="F13" s="312">
        <f>E13*D13</f>
        <v>14745</v>
      </c>
      <c r="G13" s="523"/>
      <c r="H13" s="343">
        <f>D13*G13</f>
        <v>0</v>
      </c>
      <c r="I13" s="296" t="s">
        <v>69</v>
      </c>
      <c r="J13" s="296" t="s">
        <v>84</v>
      </c>
      <c r="K13" s="535"/>
    </row>
    <row r="14" spans="1:11" s="519" customFormat="1">
      <c r="A14" s="536">
        <v>109</v>
      </c>
      <c r="B14" s="537" t="s">
        <v>85</v>
      </c>
      <c r="C14" s="538"/>
      <c r="D14" s="539"/>
      <c r="E14" s="544"/>
      <c r="F14" s="289"/>
      <c r="G14" s="520"/>
      <c r="H14" s="344"/>
      <c r="I14" s="296"/>
      <c r="J14" s="294"/>
      <c r="K14" s="535"/>
    </row>
    <row r="15" spans="1:11" s="519" customFormat="1" ht="78" customHeight="1">
      <c r="A15" s="536" t="s">
        <v>86</v>
      </c>
      <c r="B15" s="537" t="s">
        <v>85</v>
      </c>
      <c r="C15" s="538" t="s">
        <v>65</v>
      </c>
      <c r="D15" s="539">
        <v>1</v>
      </c>
      <c r="E15" s="548">
        <v>43098</v>
      </c>
      <c r="F15" s="311">
        <f>E15*D15</f>
        <v>43098</v>
      </c>
      <c r="G15" s="314"/>
      <c r="H15" s="343">
        <f>D15*G15</f>
        <v>0</v>
      </c>
      <c r="I15" s="296" t="s">
        <v>69</v>
      </c>
      <c r="J15" s="296" t="s">
        <v>1540</v>
      </c>
      <c r="K15" s="535"/>
    </row>
    <row r="16" spans="1:11" s="519" customFormat="1">
      <c r="A16" s="541">
        <v>300</v>
      </c>
      <c r="B16" s="542" t="s">
        <v>87</v>
      </c>
      <c r="C16" s="538"/>
      <c r="D16" s="543"/>
      <c r="E16" s="544"/>
      <c r="F16" s="289"/>
      <c r="G16" s="518"/>
      <c r="H16" s="344"/>
      <c r="I16" s="296"/>
      <c r="J16" s="294"/>
      <c r="K16" s="535"/>
    </row>
    <row r="17" spans="1:11" s="519" customFormat="1">
      <c r="A17" s="536">
        <v>303</v>
      </c>
      <c r="B17" s="537" t="s">
        <v>88</v>
      </c>
      <c r="C17" s="538"/>
      <c r="D17" s="539"/>
      <c r="E17" s="544"/>
      <c r="F17" s="289"/>
      <c r="G17" s="518"/>
      <c r="H17" s="344"/>
      <c r="I17" s="294"/>
      <c r="J17" s="294"/>
      <c r="K17" s="535"/>
    </row>
    <row r="18" spans="1:11" s="519" customFormat="1">
      <c r="A18" s="536" t="s">
        <v>89</v>
      </c>
      <c r="B18" s="537" t="s">
        <v>90</v>
      </c>
      <c r="C18" s="538"/>
      <c r="D18" s="539"/>
      <c r="E18" s="544"/>
      <c r="F18" s="289"/>
      <c r="G18" s="518"/>
      <c r="H18" s="344"/>
      <c r="I18" s="294"/>
      <c r="J18" s="294"/>
      <c r="K18" s="535"/>
    </row>
    <row r="19" spans="1:11" s="519" customFormat="1">
      <c r="A19" s="536" t="s">
        <v>91</v>
      </c>
      <c r="B19" s="537" t="s">
        <v>92</v>
      </c>
      <c r="C19" s="538"/>
      <c r="D19" s="539"/>
      <c r="E19" s="544"/>
      <c r="F19" s="289"/>
      <c r="G19" s="518"/>
      <c r="H19" s="344"/>
      <c r="I19" s="294"/>
      <c r="J19" s="294"/>
      <c r="K19" s="535"/>
    </row>
    <row r="20" spans="1:11" s="519" customFormat="1" ht="96">
      <c r="A20" s="536" t="s">
        <v>93</v>
      </c>
      <c r="B20" s="537" t="s">
        <v>94</v>
      </c>
      <c r="C20" s="538" t="s">
        <v>95</v>
      </c>
      <c r="D20" s="539">
        <v>80</v>
      </c>
      <c r="E20" s="540">
        <v>82</v>
      </c>
      <c r="F20" s="312">
        <f>E20*D20</f>
        <v>6560</v>
      </c>
      <c r="G20" s="524"/>
      <c r="H20" s="343">
        <f>D20*G20</f>
        <v>0</v>
      </c>
      <c r="I20" s="296" t="s">
        <v>96</v>
      </c>
      <c r="J20" s="296" t="s">
        <v>97</v>
      </c>
      <c r="K20" s="535"/>
    </row>
    <row r="21" spans="1:11" s="519" customFormat="1" ht="132">
      <c r="A21" s="536" t="s">
        <v>98</v>
      </c>
      <c r="B21" s="537" t="s">
        <v>99</v>
      </c>
      <c r="C21" s="538" t="s">
        <v>95</v>
      </c>
      <c r="D21" s="539">
        <v>80</v>
      </c>
      <c r="E21" s="540">
        <v>49.07</v>
      </c>
      <c r="F21" s="312">
        <f>E21*D21</f>
        <v>3925.6</v>
      </c>
      <c r="G21" s="524"/>
      <c r="H21" s="343">
        <f>D21*G21</f>
        <v>0</v>
      </c>
      <c r="I21" s="296" t="s">
        <v>100</v>
      </c>
      <c r="J21" s="296" t="s">
        <v>1515</v>
      </c>
      <c r="K21" s="534"/>
    </row>
    <row r="22" spans="1:11" s="519" customFormat="1" ht="90" customHeight="1">
      <c r="A22" s="536" t="s">
        <v>101</v>
      </c>
      <c r="B22" s="537" t="s">
        <v>102</v>
      </c>
      <c r="C22" s="538" t="s">
        <v>95</v>
      </c>
      <c r="D22" s="539">
        <v>80</v>
      </c>
      <c r="E22" s="540">
        <v>20</v>
      </c>
      <c r="F22" s="312">
        <f>E22*D22</f>
        <v>1600</v>
      </c>
      <c r="G22" s="524"/>
      <c r="H22" s="343">
        <f>D22*G22</f>
        <v>0</v>
      </c>
      <c r="I22" s="296" t="s">
        <v>103</v>
      </c>
      <c r="J22" s="296" t="s">
        <v>104</v>
      </c>
      <c r="K22" s="535"/>
    </row>
    <row r="23" spans="1:11" s="519" customFormat="1">
      <c r="A23" s="536" t="s">
        <v>105</v>
      </c>
      <c r="B23" s="537" t="s">
        <v>106</v>
      </c>
      <c r="C23" s="538"/>
      <c r="D23" s="539"/>
      <c r="E23" s="544"/>
      <c r="F23" s="289"/>
      <c r="G23" s="518"/>
      <c r="H23" s="344"/>
      <c r="I23" s="294"/>
      <c r="J23" s="294"/>
      <c r="K23" s="535"/>
    </row>
    <row r="24" spans="1:11" s="519" customFormat="1">
      <c r="A24" s="536" t="s">
        <v>107</v>
      </c>
      <c r="B24" s="537" t="s">
        <v>108</v>
      </c>
      <c r="C24" s="538"/>
      <c r="D24" s="539"/>
      <c r="E24" s="544"/>
      <c r="F24" s="289"/>
      <c r="G24" s="518"/>
      <c r="H24" s="344"/>
      <c r="I24" s="294"/>
      <c r="J24" s="294"/>
      <c r="K24" s="535"/>
    </row>
    <row r="25" spans="1:11" s="519" customFormat="1">
      <c r="A25" s="536" t="s">
        <v>109</v>
      </c>
      <c r="B25" s="537" t="s">
        <v>110</v>
      </c>
      <c r="C25" s="538"/>
      <c r="D25" s="539"/>
      <c r="E25" s="544"/>
      <c r="F25" s="289"/>
      <c r="G25" s="518"/>
      <c r="H25" s="344"/>
      <c r="I25" s="294"/>
      <c r="J25" s="294"/>
      <c r="K25" s="535"/>
    </row>
    <row r="26" spans="1:11" s="519" customFormat="1" ht="120">
      <c r="A26" s="536" t="s">
        <v>111</v>
      </c>
      <c r="B26" s="537" t="s">
        <v>112</v>
      </c>
      <c r="C26" s="538" t="s">
        <v>113</v>
      </c>
      <c r="D26" s="539">
        <v>4383.3329999999996</v>
      </c>
      <c r="E26" s="540">
        <v>57.2</v>
      </c>
      <c r="F26" s="311">
        <f>E26*D26</f>
        <v>250727</v>
      </c>
      <c r="G26" s="524"/>
      <c r="H26" s="343">
        <f>D26*G26</f>
        <v>0</v>
      </c>
      <c r="I26" s="297" t="s">
        <v>114</v>
      </c>
      <c r="J26" s="297" t="s">
        <v>115</v>
      </c>
      <c r="K26" s="535"/>
    </row>
    <row r="27" spans="1:11" s="519" customFormat="1">
      <c r="A27" s="536" t="s">
        <v>116</v>
      </c>
      <c r="B27" s="537" t="s">
        <v>117</v>
      </c>
      <c r="C27" s="538"/>
      <c r="D27" s="539"/>
      <c r="E27" s="544"/>
      <c r="F27" s="289"/>
      <c r="G27" s="518"/>
      <c r="H27" s="344"/>
      <c r="I27" s="294"/>
      <c r="J27" s="294"/>
      <c r="K27" s="535"/>
    </row>
    <row r="28" spans="1:11" s="519" customFormat="1" ht="24">
      <c r="A28" s="536" t="s">
        <v>118</v>
      </c>
      <c r="B28" s="537" t="s">
        <v>119</v>
      </c>
      <c r="C28" s="538"/>
      <c r="D28" s="539"/>
      <c r="E28" s="544"/>
      <c r="F28" s="289"/>
      <c r="G28" s="518"/>
      <c r="H28" s="344"/>
      <c r="I28" s="294"/>
      <c r="J28" s="294"/>
      <c r="K28" s="535"/>
    </row>
    <row r="29" spans="1:11" s="519" customFormat="1" ht="120">
      <c r="A29" s="536" t="s">
        <v>120</v>
      </c>
      <c r="B29" s="537" t="s">
        <v>121</v>
      </c>
      <c r="C29" s="538" t="s">
        <v>113</v>
      </c>
      <c r="D29" s="539">
        <v>4375</v>
      </c>
      <c r="E29" s="540">
        <v>49.52</v>
      </c>
      <c r="F29" s="311">
        <f>E29*D29</f>
        <v>216650</v>
      </c>
      <c r="G29" s="524"/>
      <c r="H29" s="343">
        <f>D29*G29</f>
        <v>0</v>
      </c>
      <c r="I29" s="297" t="s">
        <v>114</v>
      </c>
      <c r="J29" s="297" t="s">
        <v>115</v>
      </c>
      <c r="K29" s="535"/>
    </row>
    <row r="30" spans="1:11" s="519" customFormat="1">
      <c r="A30" s="536" t="s">
        <v>122</v>
      </c>
      <c r="B30" s="537" t="s">
        <v>123</v>
      </c>
      <c r="C30" s="538"/>
      <c r="D30" s="539"/>
      <c r="E30" s="544"/>
      <c r="F30" s="289"/>
      <c r="G30" s="518"/>
      <c r="H30" s="344"/>
      <c r="I30" s="294"/>
      <c r="J30" s="294"/>
      <c r="K30" s="535"/>
    </row>
    <row r="31" spans="1:11" s="519" customFormat="1" ht="120">
      <c r="A31" s="536" t="s">
        <v>124</v>
      </c>
      <c r="B31" s="537" t="s">
        <v>125</v>
      </c>
      <c r="C31" s="538" t="s">
        <v>113</v>
      </c>
      <c r="D31" s="539">
        <v>4375</v>
      </c>
      <c r="E31" s="540">
        <v>1.1000000000000001</v>
      </c>
      <c r="F31" s="311">
        <f>E31*D31</f>
        <v>4813</v>
      </c>
      <c r="G31" s="524"/>
      <c r="H31" s="343">
        <f>D31*G31</f>
        <v>0</v>
      </c>
      <c r="I31" s="297" t="s">
        <v>126</v>
      </c>
      <c r="J31" s="297" t="s">
        <v>127</v>
      </c>
      <c r="K31" s="535"/>
    </row>
    <row r="32" spans="1:11" s="519" customFormat="1">
      <c r="A32" s="536" t="s">
        <v>128</v>
      </c>
      <c r="B32" s="537" t="s">
        <v>129</v>
      </c>
      <c r="C32" s="538"/>
      <c r="D32" s="539"/>
      <c r="E32" s="544"/>
      <c r="F32" s="289"/>
      <c r="G32" s="518"/>
      <c r="H32" s="344"/>
      <c r="I32" s="294"/>
      <c r="J32" s="294"/>
      <c r="K32" s="535"/>
    </row>
    <row r="33" spans="1:11" s="519" customFormat="1" ht="120">
      <c r="A33" s="536" t="s">
        <v>130</v>
      </c>
      <c r="B33" s="537" t="s">
        <v>131</v>
      </c>
      <c r="C33" s="538" t="s">
        <v>113</v>
      </c>
      <c r="D33" s="539">
        <v>4383</v>
      </c>
      <c r="E33" s="540">
        <v>5.73</v>
      </c>
      <c r="F33" s="311">
        <f>E33*D33</f>
        <v>25115</v>
      </c>
      <c r="G33" s="524"/>
      <c r="H33" s="343">
        <f>D33*G33</f>
        <v>0</v>
      </c>
      <c r="I33" s="297" t="s">
        <v>132</v>
      </c>
      <c r="J33" s="297" t="s">
        <v>133</v>
      </c>
      <c r="K33" s="535"/>
    </row>
    <row r="34" spans="1:11" s="519" customFormat="1">
      <c r="A34" s="541">
        <v>500</v>
      </c>
      <c r="B34" s="542" t="s">
        <v>24</v>
      </c>
      <c r="C34" s="538"/>
      <c r="D34" s="539"/>
      <c r="E34" s="544"/>
      <c r="F34" s="289"/>
      <c r="G34" s="518"/>
      <c r="H34" s="344"/>
      <c r="I34" s="294"/>
      <c r="J34" s="294"/>
      <c r="K34" s="535"/>
    </row>
    <row r="35" spans="1:11" s="519" customFormat="1">
      <c r="A35" s="536">
        <v>503</v>
      </c>
      <c r="B35" s="537" t="s">
        <v>134</v>
      </c>
      <c r="C35" s="538"/>
      <c r="D35" s="539"/>
      <c r="E35" s="544"/>
      <c r="F35" s="289"/>
      <c r="G35" s="518"/>
      <c r="H35" s="344"/>
      <c r="I35" s="294"/>
      <c r="J35" s="294"/>
      <c r="K35" s="535"/>
    </row>
    <row r="36" spans="1:11" s="519" customFormat="1">
      <c r="A36" s="536" t="s">
        <v>135</v>
      </c>
      <c r="B36" s="537" t="s">
        <v>136</v>
      </c>
      <c r="C36" s="538"/>
      <c r="D36" s="539"/>
      <c r="E36" s="544"/>
      <c r="F36" s="289"/>
      <c r="G36" s="518"/>
      <c r="H36" s="344"/>
      <c r="I36" s="294"/>
      <c r="J36" s="294"/>
      <c r="K36" s="535"/>
    </row>
    <row r="37" spans="1:11" s="519" customFormat="1">
      <c r="A37" s="536" t="s">
        <v>137</v>
      </c>
      <c r="B37" s="537" t="s">
        <v>138</v>
      </c>
      <c r="C37" s="538"/>
      <c r="D37" s="539"/>
      <c r="E37" s="544"/>
      <c r="F37" s="289"/>
      <c r="G37" s="518"/>
      <c r="H37" s="344"/>
      <c r="I37" s="294"/>
      <c r="J37" s="294"/>
      <c r="K37" s="535"/>
    </row>
    <row r="38" spans="1:11" s="519" customFormat="1" ht="96">
      <c r="A38" s="536" t="s">
        <v>139</v>
      </c>
      <c r="B38" s="546" t="s">
        <v>1541</v>
      </c>
      <c r="C38" s="538" t="s">
        <v>140</v>
      </c>
      <c r="D38" s="539">
        <v>15975</v>
      </c>
      <c r="E38" s="540">
        <v>57.2</v>
      </c>
      <c r="F38" s="311">
        <f>E38*D38</f>
        <v>913770</v>
      </c>
      <c r="G38" s="524"/>
      <c r="H38" s="343">
        <f>D38*G38</f>
        <v>0</v>
      </c>
      <c r="I38" s="297" t="s">
        <v>141</v>
      </c>
      <c r="J38" s="297" t="s">
        <v>142</v>
      </c>
      <c r="K38" s="535"/>
    </row>
    <row r="39" spans="1:11" s="519" customFormat="1">
      <c r="A39" s="536" t="s">
        <v>143</v>
      </c>
      <c r="B39" s="537" t="s">
        <v>144</v>
      </c>
      <c r="C39" s="538"/>
      <c r="D39" s="539"/>
      <c r="E39" s="544"/>
      <c r="F39" s="289"/>
      <c r="G39" s="518"/>
      <c r="H39" s="344"/>
      <c r="I39" s="294"/>
      <c r="J39" s="294"/>
      <c r="K39" s="535"/>
    </row>
    <row r="40" spans="1:11" s="519" customFormat="1" ht="120">
      <c r="A40" s="536" t="s">
        <v>145</v>
      </c>
      <c r="B40" s="537" t="s">
        <v>1542</v>
      </c>
      <c r="C40" s="538" t="s">
        <v>95</v>
      </c>
      <c r="D40" s="539">
        <v>3675</v>
      </c>
      <c r="E40" s="540">
        <v>463.5</v>
      </c>
      <c r="F40" s="311">
        <f>E40*D40</f>
        <v>1703363</v>
      </c>
      <c r="G40" s="524"/>
      <c r="H40" s="343">
        <f>D40*G40</f>
        <v>0</v>
      </c>
      <c r="I40" s="297" t="s">
        <v>147</v>
      </c>
      <c r="J40" s="297" t="s">
        <v>148</v>
      </c>
      <c r="K40" s="535"/>
    </row>
    <row r="41" spans="1:11" s="519" customFormat="1">
      <c r="A41" s="536" t="s">
        <v>149</v>
      </c>
      <c r="B41" s="537" t="s">
        <v>150</v>
      </c>
      <c r="C41" s="538"/>
      <c r="D41" s="539"/>
      <c r="E41" s="544"/>
      <c r="F41" s="289"/>
      <c r="G41" s="518"/>
      <c r="H41" s="344"/>
      <c r="I41" s="294"/>
      <c r="J41" s="294"/>
      <c r="K41" s="535"/>
    </row>
    <row r="42" spans="1:11" s="519" customFormat="1">
      <c r="A42" s="536" t="s">
        <v>151</v>
      </c>
      <c r="B42" s="537" t="s">
        <v>152</v>
      </c>
      <c r="C42" s="538"/>
      <c r="D42" s="539"/>
      <c r="E42" s="544"/>
      <c r="F42" s="289"/>
      <c r="G42" s="518"/>
      <c r="H42" s="344"/>
      <c r="I42" s="294"/>
      <c r="J42" s="294"/>
      <c r="K42" s="535"/>
    </row>
    <row r="43" spans="1:11" s="519" customFormat="1" ht="84">
      <c r="A43" s="536" t="s">
        <v>153</v>
      </c>
      <c r="B43" s="537" t="s">
        <v>154</v>
      </c>
      <c r="C43" s="538" t="s">
        <v>95</v>
      </c>
      <c r="D43" s="539">
        <v>39</v>
      </c>
      <c r="E43" s="540">
        <v>239.74</v>
      </c>
      <c r="F43" s="311">
        <f>E43*D43</f>
        <v>9350</v>
      </c>
      <c r="G43" s="524"/>
      <c r="H43" s="343">
        <f>D43*G43</f>
        <v>0</v>
      </c>
      <c r="I43" s="297" t="s">
        <v>155</v>
      </c>
      <c r="J43" s="297" t="s">
        <v>156</v>
      </c>
      <c r="K43" s="535"/>
    </row>
    <row r="44" spans="1:11" s="519" customFormat="1" ht="84">
      <c r="A44" s="536" t="s">
        <v>157</v>
      </c>
      <c r="B44" s="537" t="s">
        <v>158</v>
      </c>
      <c r="C44" s="538" t="s">
        <v>95</v>
      </c>
      <c r="D44" s="539">
        <v>565</v>
      </c>
      <c r="E44" s="540">
        <v>73.8</v>
      </c>
      <c r="F44" s="311">
        <f>E44*D44</f>
        <v>41697</v>
      </c>
      <c r="G44" s="524"/>
      <c r="H44" s="343">
        <f>D44*G44</f>
        <v>0</v>
      </c>
      <c r="I44" s="297" t="s">
        <v>155</v>
      </c>
      <c r="J44" s="297" t="s">
        <v>156</v>
      </c>
      <c r="K44" s="535"/>
    </row>
    <row r="45" spans="1:11" s="519" customFormat="1" ht="90" customHeight="1">
      <c r="A45" s="536" t="s">
        <v>159</v>
      </c>
      <c r="B45" s="537" t="s">
        <v>102</v>
      </c>
      <c r="C45" s="538" t="s">
        <v>95</v>
      </c>
      <c r="D45" s="539">
        <v>604</v>
      </c>
      <c r="E45" s="540">
        <v>20</v>
      </c>
      <c r="F45" s="311">
        <f>E45*D45</f>
        <v>12080</v>
      </c>
      <c r="G45" s="524"/>
      <c r="H45" s="343">
        <f>D45*G45</f>
        <v>0</v>
      </c>
      <c r="I45" s="297" t="s">
        <v>103</v>
      </c>
      <c r="J45" s="297" t="s">
        <v>104</v>
      </c>
      <c r="K45" s="535"/>
    </row>
    <row r="46" spans="1:11" s="519" customFormat="1">
      <c r="A46" s="536" t="s">
        <v>160</v>
      </c>
      <c r="B46" s="537" t="s">
        <v>161</v>
      </c>
      <c r="C46" s="538"/>
      <c r="D46" s="539"/>
      <c r="E46" s="540"/>
      <c r="F46" s="289"/>
      <c r="G46" s="518"/>
      <c r="H46" s="344"/>
      <c r="I46" s="294"/>
      <c r="J46" s="294"/>
      <c r="K46" s="535"/>
    </row>
    <row r="47" spans="1:11" s="519" customFormat="1" ht="120">
      <c r="A47" s="536" t="s">
        <v>162</v>
      </c>
      <c r="B47" s="537" t="s">
        <v>163</v>
      </c>
      <c r="C47" s="538" t="s">
        <v>164</v>
      </c>
      <c r="D47" s="539">
        <v>4402.5</v>
      </c>
      <c r="E47" s="540">
        <v>0.94</v>
      </c>
      <c r="F47" s="311">
        <f>E47*D47</f>
        <v>4138</v>
      </c>
      <c r="G47" s="524"/>
      <c r="H47" s="343">
        <f>D47*G47</f>
        <v>0</v>
      </c>
      <c r="I47" s="297" t="s">
        <v>165</v>
      </c>
      <c r="J47" s="297" t="s">
        <v>1512</v>
      </c>
      <c r="K47" s="534"/>
    </row>
    <row r="48" spans="1:11" s="519" customFormat="1" ht="108">
      <c r="A48" s="536" t="s">
        <v>166</v>
      </c>
      <c r="B48" s="537" t="s">
        <v>1525</v>
      </c>
      <c r="C48" s="538" t="s">
        <v>164</v>
      </c>
      <c r="D48" s="539">
        <v>45643.5</v>
      </c>
      <c r="E48" s="540">
        <v>10.66</v>
      </c>
      <c r="F48" s="311">
        <f>E48*D48</f>
        <v>486560</v>
      </c>
      <c r="G48" s="524"/>
      <c r="H48" s="343">
        <f>D48*G48</f>
        <v>0</v>
      </c>
      <c r="I48" s="297" t="s">
        <v>167</v>
      </c>
      <c r="J48" s="297" t="s">
        <v>168</v>
      </c>
      <c r="K48" s="535"/>
    </row>
    <row r="49" spans="1:11" s="519" customFormat="1">
      <c r="A49" s="536" t="s">
        <v>169</v>
      </c>
      <c r="B49" s="537" t="s">
        <v>170</v>
      </c>
      <c r="C49" s="538"/>
      <c r="D49" s="539"/>
      <c r="E49" s="544"/>
      <c r="F49" s="289"/>
      <c r="G49" s="518"/>
      <c r="H49" s="344"/>
      <c r="I49" s="294"/>
      <c r="J49" s="294"/>
      <c r="K49" s="535"/>
    </row>
    <row r="50" spans="1:11" s="519" customFormat="1" ht="144">
      <c r="A50" s="536" t="s">
        <v>171</v>
      </c>
      <c r="B50" s="537" t="s">
        <v>172</v>
      </c>
      <c r="C50" s="538" t="s">
        <v>113</v>
      </c>
      <c r="D50" s="539">
        <v>261</v>
      </c>
      <c r="E50" s="540">
        <v>1127.3599999999999</v>
      </c>
      <c r="F50" s="311">
        <f>E50*D50</f>
        <v>294241</v>
      </c>
      <c r="G50" s="524"/>
      <c r="H50" s="343">
        <f>D50*G50</f>
        <v>0</v>
      </c>
      <c r="I50" s="297" t="s">
        <v>173</v>
      </c>
      <c r="J50" s="297" t="s">
        <v>174</v>
      </c>
      <c r="K50" s="535"/>
    </row>
    <row r="51" spans="1:11" s="519" customFormat="1" ht="120">
      <c r="A51" s="536" t="s">
        <v>175</v>
      </c>
      <c r="B51" s="537" t="s">
        <v>176</v>
      </c>
      <c r="C51" s="538" t="s">
        <v>164</v>
      </c>
      <c r="D51" s="539">
        <v>101359.2</v>
      </c>
      <c r="E51" s="540">
        <v>6.64</v>
      </c>
      <c r="F51" s="311">
        <f>E51*D51</f>
        <v>673025</v>
      </c>
      <c r="G51" s="524"/>
      <c r="H51" s="343">
        <f>D51*G51</f>
        <v>0</v>
      </c>
      <c r="I51" s="297" t="s">
        <v>177</v>
      </c>
      <c r="J51" s="297" t="s">
        <v>178</v>
      </c>
      <c r="K51" s="535"/>
    </row>
    <row r="52" spans="1:11" s="519" customFormat="1" ht="120">
      <c r="A52" s="536" t="s">
        <v>179</v>
      </c>
      <c r="B52" s="537" t="s">
        <v>180</v>
      </c>
      <c r="C52" s="538" t="s">
        <v>164</v>
      </c>
      <c r="D52" s="539">
        <v>5028</v>
      </c>
      <c r="E52" s="540">
        <v>2.2000000000000002</v>
      </c>
      <c r="F52" s="311">
        <f>E52*D52</f>
        <v>11062</v>
      </c>
      <c r="G52" s="524"/>
      <c r="H52" s="343">
        <f>D52*G52</f>
        <v>0</v>
      </c>
      <c r="I52" s="297" t="s">
        <v>181</v>
      </c>
      <c r="J52" s="297" t="s">
        <v>182</v>
      </c>
      <c r="K52" s="535"/>
    </row>
    <row r="53" spans="1:11" s="519" customFormat="1" ht="120">
      <c r="A53" s="536" t="s">
        <v>183</v>
      </c>
      <c r="B53" s="537" t="s">
        <v>184</v>
      </c>
      <c r="C53" s="538" t="s">
        <v>185</v>
      </c>
      <c r="D53" s="539">
        <v>600</v>
      </c>
      <c r="E53" s="540">
        <v>21</v>
      </c>
      <c r="F53" s="311">
        <f>E53*D53</f>
        <v>12600</v>
      </c>
      <c r="G53" s="524"/>
      <c r="H53" s="343">
        <f>D53*G53</f>
        <v>0</v>
      </c>
      <c r="I53" s="297" t="s">
        <v>186</v>
      </c>
      <c r="J53" s="297" t="s">
        <v>1513</v>
      </c>
      <c r="K53" s="534"/>
    </row>
    <row r="54" spans="1:11" s="519" customFormat="1">
      <c r="A54" s="536" t="s">
        <v>187</v>
      </c>
      <c r="B54" s="537" t="s">
        <v>188</v>
      </c>
      <c r="C54" s="538"/>
      <c r="D54" s="539"/>
      <c r="E54" s="544"/>
      <c r="F54" s="289"/>
      <c r="G54" s="518"/>
      <c r="H54" s="344"/>
      <c r="I54" s="294"/>
      <c r="J54" s="294"/>
      <c r="K54" s="535"/>
    </row>
    <row r="55" spans="1:11" s="519" customFormat="1" ht="120">
      <c r="A55" s="536" t="s">
        <v>189</v>
      </c>
      <c r="B55" s="537" t="s">
        <v>190</v>
      </c>
      <c r="C55" s="538" t="s">
        <v>95</v>
      </c>
      <c r="D55" s="539">
        <v>39</v>
      </c>
      <c r="E55" s="540">
        <v>238.21</v>
      </c>
      <c r="F55" s="311">
        <f>E55*D55</f>
        <v>9290</v>
      </c>
      <c r="G55" s="524"/>
      <c r="H55" s="343">
        <f>D55*G55</f>
        <v>0</v>
      </c>
      <c r="I55" s="297" t="s">
        <v>191</v>
      </c>
      <c r="J55" s="297" t="s">
        <v>1516</v>
      </c>
      <c r="K55" s="534"/>
    </row>
    <row r="56" spans="1:11" s="519" customFormat="1">
      <c r="A56" s="536" t="s">
        <v>192</v>
      </c>
      <c r="B56" s="537" t="s">
        <v>193</v>
      </c>
      <c r="C56" s="538"/>
      <c r="D56" s="539"/>
      <c r="E56" s="544"/>
      <c r="F56" s="289"/>
      <c r="G56" s="518"/>
      <c r="H56" s="344"/>
      <c r="I56" s="294"/>
      <c r="J56" s="294"/>
      <c r="K56" s="535"/>
    </row>
    <row r="57" spans="1:11" s="519" customFormat="1" ht="96">
      <c r="A57" s="536" t="s">
        <v>194</v>
      </c>
      <c r="B57" s="537" t="s">
        <v>195</v>
      </c>
      <c r="C57" s="538" t="s">
        <v>140</v>
      </c>
      <c r="D57" s="539">
        <v>72.5</v>
      </c>
      <c r="E57" s="540">
        <v>68.400000000000006</v>
      </c>
      <c r="F57" s="311">
        <f>E57*D57</f>
        <v>4959</v>
      </c>
      <c r="G57" s="524"/>
      <c r="H57" s="343">
        <f>D57*G57</f>
        <v>0</v>
      </c>
      <c r="I57" s="297" t="s">
        <v>196</v>
      </c>
      <c r="J57" s="297" t="s">
        <v>1522</v>
      </c>
      <c r="K57" s="534"/>
    </row>
    <row r="58" spans="1:11" s="519" customFormat="1">
      <c r="A58" s="536" t="s">
        <v>197</v>
      </c>
      <c r="B58" s="537" t="s">
        <v>198</v>
      </c>
      <c r="C58" s="538"/>
      <c r="D58" s="539"/>
      <c r="E58" s="544"/>
      <c r="F58" s="289"/>
      <c r="G58" s="518"/>
      <c r="H58" s="344"/>
      <c r="I58" s="294"/>
      <c r="J58" s="294"/>
      <c r="K58" s="535"/>
    </row>
    <row r="59" spans="1:11" s="519" customFormat="1" ht="132">
      <c r="A59" s="536" t="s">
        <v>199</v>
      </c>
      <c r="B59" s="537" t="s">
        <v>200</v>
      </c>
      <c r="C59" s="538" t="s">
        <v>95</v>
      </c>
      <c r="D59" s="539">
        <v>2191</v>
      </c>
      <c r="E59" s="540">
        <v>51.03</v>
      </c>
      <c r="F59" s="311">
        <f>E59*D59</f>
        <v>111807</v>
      </c>
      <c r="G59" s="524"/>
      <c r="H59" s="343">
        <f>D59*G59</f>
        <v>0</v>
      </c>
      <c r="I59" s="297" t="s">
        <v>201</v>
      </c>
      <c r="J59" s="297" t="s">
        <v>1517</v>
      </c>
      <c r="K59" s="534"/>
    </row>
    <row r="60" spans="1:11" s="519" customFormat="1">
      <c r="A60" s="536" t="s">
        <v>202</v>
      </c>
      <c r="B60" s="537" t="s">
        <v>203</v>
      </c>
      <c r="C60" s="538"/>
      <c r="D60" s="539"/>
      <c r="E60" s="544"/>
      <c r="F60" s="289"/>
      <c r="G60" s="518"/>
      <c r="H60" s="344"/>
      <c r="I60" s="294"/>
      <c r="J60" s="294"/>
      <c r="K60" s="535"/>
    </row>
    <row r="61" spans="1:11" s="519" customFormat="1">
      <c r="A61" s="536" t="s">
        <v>204</v>
      </c>
      <c r="B61" s="537" t="s">
        <v>205</v>
      </c>
      <c r="C61" s="538"/>
      <c r="D61" s="539"/>
      <c r="E61" s="544"/>
      <c r="F61" s="289"/>
      <c r="G61" s="518"/>
      <c r="H61" s="344"/>
      <c r="I61" s="294"/>
      <c r="J61" s="294"/>
      <c r="K61" s="535"/>
    </row>
    <row r="62" spans="1:11" s="519" customFormat="1" ht="102" customHeight="1">
      <c r="A62" s="536" t="s">
        <v>206</v>
      </c>
      <c r="B62" s="537" t="s">
        <v>207</v>
      </c>
      <c r="C62" s="538" t="s">
        <v>113</v>
      </c>
      <c r="D62" s="539">
        <v>99</v>
      </c>
      <c r="E62" s="540">
        <v>10.4</v>
      </c>
      <c r="F62" s="311">
        <f>E62*D62</f>
        <v>1030</v>
      </c>
      <c r="G62" s="524"/>
      <c r="H62" s="343">
        <f>D62*G62</f>
        <v>0</v>
      </c>
      <c r="I62" s="297" t="s">
        <v>208</v>
      </c>
      <c r="J62" s="297" t="s">
        <v>209</v>
      </c>
      <c r="K62" s="535"/>
    </row>
    <row r="63" spans="1:11" s="519" customFormat="1" ht="96">
      <c r="A63" s="536" t="s">
        <v>210</v>
      </c>
      <c r="B63" s="537" t="s">
        <v>211</v>
      </c>
      <c r="C63" s="538" t="s">
        <v>113</v>
      </c>
      <c r="D63" s="539">
        <v>99</v>
      </c>
      <c r="E63" s="540">
        <v>25.2</v>
      </c>
      <c r="F63" s="311">
        <f>E63*D63</f>
        <v>2495</v>
      </c>
      <c r="G63" s="524"/>
      <c r="H63" s="343">
        <f>D63*G63</f>
        <v>0</v>
      </c>
      <c r="I63" s="297" t="s">
        <v>212</v>
      </c>
      <c r="J63" s="297" t="s">
        <v>213</v>
      </c>
      <c r="K63" s="535"/>
    </row>
    <row r="64" spans="1:11" s="519" customFormat="1">
      <c r="A64" s="536" t="s">
        <v>214</v>
      </c>
      <c r="B64" s="537" t="s">
        <v>215</v>
      </c>
      <c r="C64" s="538"/>
      <c r="D64" s="539"/>
      <c r="E64" s="544"/>
      <c r="F64" s="289"/>
      <c r="G64" s="518"/>
      <c r="H64" s="344"/>
      <c r="I64" s="294"/>
      <c r="J64" s="294"/>
      <c r="K64" s="535"/>
    </row>
    <row r="65" spans="1:11" s="519" customFormat="1" ht="96">
      <c r="A65" s="536" t="s">
        <v>216</v>
      </c>
      <c r="B65" s="537" t="s">
        <v>217</v>
      </c>
      <c r="C65" s="538" t="s">
        <v>95</v>
      </c>
      <c r="D65" s="539">
        <v>59.4</v>
      </c>
      <c r="E65" s="540">
        <v>280</v>
      </c>
      <c r="F65" s="311">
        <f>E65*D65</f>
        <v>16632</v>
      </c>
      <c r="G65" s="524"/>
      <c r="H65" s="343">
        <f>D65*G65</f>
        <v>0</v>
      </c>
      <c r="I65" s="297" t="s">
        <v>201</v>
      </c>
      <c r="J65" s="297" t="s">
        <v>1518</v>
      </c>
      <c r="K65" s="534"/>
    </row>
    <row r="66" spans="1:11" s="519" customFormat="1" ht="156">
      <c r="A66" s="536" t="s">
        <v>218</v>
      </c>
      <c r="B66" s="537" t="s">
        <v>219</v>
      </c>
      <c r="C66" s="538" t="s">
        <v>95</v>
      </c>
      <c r="D66" s="539">
        <v>546.44000000000005</v>
      </c>
      <c r="E66" s="540">
        <v>212.47</v>
      </c>
      <c r="F66" s="311">
        <f>E66*D66</f>
        <v>116102</v>
      </c>
      <c r="G66" s="524"/>
      <c r="H66" s="343">
        <f>D66*G66</f>
        <v>0</v>
      </c>
      <c r="I66" s="297" t="s">
        <v>201</v>
      </c>
      <c r="J66" s="297" t="s">
        <v>1519</v>
      </c>
      <c r="K66" s="534"/>
    </row>
    <row r="67" spans="1:11" s="519" customFormat="1" ht="120">
      <c r="A67" s="536" t="s">
        <v>220</v>
      </c>
      <c r="B67" s="537" t="s">
        <v>221</v>
      </c>
      <c r="C67" s="538" t="s">
        <v>164</v>
      </c>
      <c r="D67" s="539">
        <v>52488</v>
      </c>
      <c r="E67" s="540">
        <v>0.72</v>
      </c>
      <c r="F67" s="311">
        <f>E67*D67</f>
        <v>37791</v>
      </c>
      <c r="G67" s="524"/>
      <c r="H67" s="343">
        <f>D67*G67</f>
        <v>0</v>
      </c>
      <c r="I67" s="297" t="s">
        <v>165</v>
      </c>
      <c r="J67" s="297" t="s">
        <v>1512</v>
      </c>
      <c r="K67" s="534"/>
    </row>
    <row r="68" spans="1:11" s="519" customFormat="1" ht="108">
      <c r="A68" s="536" t="s">
        <v>222</v>
      </c>
      <c r="B68" s="537" t="s">
        <v>223</v>
      </c>
      <c r="C68" s="538" t="s">
        <v>164</v>
      </c>
      <c r="D68" s="539">
        <v>995</v>
      </c>
      <c r="E68" s="540">
        <v>9.09</v>
      </c>
      <c r="F68" s="311">
        <f>E68*D68</f>
        <v>9045</v>
      </c>
      <c r="G68" s="524"/>
      <c r="H68" s="343">
        <f>D68*G68</f>
        <v>0</v>
      </c>
      <c r="I68" s="297" t="s">
        <v>181</v>
      </c>
      <c r="J68" s="297" t="s">
        <v>224</v>
      </c>
      <c r="K68" s="535"/>
    </row>
    <row r="69" spans="1:11" s="519" customFormat="1" ht="84">
      <c r="A69" s="536" t="s">
        <v>225</v>
      </c>
      <c r="B69" s="537" t="s">
        <v>226</v>
      </c>
      <c r="C69" s="538" t="s">
        <v>164</v>
      </c>
      <c r="D69" s="539">
        <v>3108</v>
      </c>
      <c r="E69" s="540">
        <v>11</v>
      </c>
      <c r="F69" s="311">
        <f>E69*D69</f>
        <v>34188</v>
      </c>
      <c r="G69" s="524"/>
      <c r="H69" s="343">
        <f>D69*G69</f>
        <v>0</v>
      </c>
      <c r="I69" s="297" t="s">
        <v>227</v>
      </c>
      <c r="J69" s="297" t="s">
        <v>228</v>
      </c>
      <c r="K69" s="535"/>
    </row>
    <row r="70" spans="1:11" s="519" customFormat="1">
      <c r="A70" s="536" t="s">
        <v>229</v>
      </c>
      <c r="B70" s="537" t="s">
        <v>230</v>
      </c>
      <c r="C70" s="538"/>
      <c r="D70" s="539"/>
      <c r="E70" s="544"/>
      <c r="F70" s="289"/>
      <c r="G70" s="518"/>
      <c r="H70" s="344"/>
      <c r="I70" s="294"/>
      <c r="J70" s="294"/>
      <c r="K70" s="535"/>
    </row>
    <row r="71" spans="1:11" s="519" customFormat="1">
      <c r="A71" s="536" t="s">
        <v>231</v>
      </c>
      <c r="B71" s="537" t="s">
        <v>232</v>
      </c>
      <c r="C71" s="538"/>
      <c r="D71" s="539"/>
      <c r="E71" s="544"/>
      <c r="F71" s="289"/>
      <c r="G71" s="518"/>
      <c r="H71" s="344"/>
      <c r="I71" s="294"/>
      <c r="J71" s="294"/>
      <c r="K71" s="535"/>
    </row>
    <row r="72" spans="1:11" s="519" customFormat="1">
      <c r="A72" s="536" t="s">
        <v>233</v>
      </c>
      <c r="B72" s="537" t="s">
        <v>234</v>
      </c>
      <c r="C72" s="538"/>
      <c r="D72" s="539"/>
      <c r="E72" s="544"/>
      <c r="F72" s="289"/>
      <c r="G72" s="518"/>
      <c r="H72" s="344"/>
      <c r="I72" s="294"/>
      <c r="J72" s="294"/>
      <c r="K72" s="535"/>
    </row>
    <row r="73" spans="1:11" s="519" customFormat="1" ht="168">
      <c r="A73" s="536" t="s">
        <v>235</v>
      </c>
      <c r="B73" s="537" t="s">
        <v>236</v>
      </c>
      <c r="C73" s="538" t="s">
        <v>113</v>
      </c>
      <c r="D73" s="539">
        <v>4383.3329999999996</v>
      </c>
      <c r="E73" s="540">
        <v>17.86</v>
      </c>
      <c r="F73" s="311">
        <f t="shared" ref="F73:F78" si="0">E73*D73</f>
        <v>78286</v>
      </c>
      <c r="G73" s="524"/>
      <c r="H73" s="343">
        <f t="shared" ref="H73:H78" si="1">D73*G73</f>
        <v>0</v>
      </c>
      <c r="I73" s="297" t="s">
        <v>237</v>
      </c>
      <c r="J73" s="297" t="s">
        <v>1520</v>
      </c>
      <c r="K73" s="534"/>
    </row>
    <row r="74" spans="1:11" s="519" customFormat="1" ht="168">
      <c r="A74" s="536" t="s">
        <v>238</v>
      </c>
      <c r="B74" s="537" t="s">
        <v>239</v>
      </c>
      <c r="C74" s="538" t="s">
        <v>113</v>
      </c>
      <c r="D74" s="539">
        <v>180</v>
      </c>
      <c r="E74" s="540">
        <v>17.86</v>
      </c>
      <c r="F74" s="311">
        <f t="shared" si="0"/>
        <v>3215</v>
      </c>
      <c r="G74" s="524"/>
      <c r="H74" s="343">
        <f t="shared" si="1"/>
        <v>0</v>
      </c>
      <c r="I74" s="297" t="s">
        <v>237</v>
      </c>
      <c r="J74" s="297" t="s">
        <v>1526</v>
      </c>
      <c r="K74" s="534"/>
    </row>
    <row r="75" spans="1:11" s="519" customFormat="1" ht="132">
      <c r="A75" s="536" t="s">
        <v>240</v>
      </c>
      <c r="B75" s="537" t="s">
        <v>241</v>
      </c>
      <c r="C75" s="538" t="s">
        <v>164</v>
      </c>
      <c r="D75" s="539">
        <v>92783</v>
      </c>
      <c r="E75" s="540">
        <v>0.6</v>
      </c>
      <c r="F75" s="311">
        <f t="shared" si="0"/>
        <v>55670</v>
      </c>
      <c r="G75" s="524"/>
      <c r="H75" s="343">
        <f t="shared" si="1"/>
        <v>0</v>
      </c>
      <c r="I75" s="297" t="s">
        <v>242</v>
      </c>
      <c r="J75" s="297" t="s">
        <v>1514</v>
      </c>
      <c r="K75" s="534"/>
    </row>
    <row r="76" spans="1:11" s="519" customFormat="1" ht="84">
      <c r="A76" s="536" t="s">
        <v>243</v>
      </c>
      <c r="B76" s="537" t="s">
        <v>244</v>
      </c>
      <c r="C76" s="538" t="s">
        <v>95</v>
      </c>
      <c r="D76" s="539">
        <v>1526</v>
      </c>
      <c r="E76" s="540">
        <v>82</v>
      </c>
      <c r="F76" s="311">
        <f t="shared" si="0"/>
        <v>125132</v>
      </c>
      <c r="G76" s="524"/>
      <c r="H76" s="343">
        <f t="shared" si="1"/>
        <v>0</v>
      </c>
      <c r="I76" s="297" t="s">
        <v>245</v>
      </c>
      <c r="J76" s="297" t="s">
        <v>246</v>
      </c>
      <c r="K76" s="535"/>
    </row>
    <row r="77" spans="1:11" s="519" customFormat="1" ht="90" customHeight="1">
      <c r="A77" s="536" t="s">
        <v>247</v>
      </c>
      <c r="B77" s="537" t="s">
        <v>248</v>
      </c>
      <c r="C77" s="538" t="s">
        <v>95</v>
      </c>
      <c r="D77" s="539">
        <v>3717</v>
      </c>
      <c r="E77" s="540">
        <v>20</v>
      </c>
      <c r="F77" s="311">
        <f t="shared" si="0"/>
        <v>74340</v>
      </c>
      <c r="G77" s="524"/>
      <c r="H77" s="343">
        <f t="shared" si="1"/>
        <v>0</v>
      </c>
      <c r="I77" s="297" t="s">
        <v>103</v>
      </c>
      <c r="J77" s="297" t="s">
        <v>104</v>
      </c>
      <c r="K77" s="535"/>
    </row>
    <row r="78" spans="1:11" s="519" customFormat="1" ht="84">
      <c r="A78" s="536" t="s">
        <v>249</v>
      </c>
      <c r="B78" s="537" t="s">
        <v>250</v>
      </c>
      <c r="C78" s="538" t="s">
        <v>95</v>
      </c>
      <c r="D78" s="539">
        <v>2191</v>
      </c>
      <c r="E78" s="540">
        <v>13</v>
      </c>
      <c r="F78" s="311">
        <f t="shared" si="0"/>
        <v>28483</v>
      </c>
      <c r="G78" s="524"/>
      <c r="H78" s="343">
        <f t="shared" si="1"/>
        <v>0</v>
      </c>
      <c r="I78" s="297" t="s">
        <v>251</v>
      </c>
      <c r="J78" s="297" t="s">
        <v>246</v>
      </c>
      <c r="K78" s="535"/>
    </row>
    <row r="79" spans="1:11" s="519" customFormat="1">
      <c r="A79" s="541">
        <v>600</v>
      </c>
      <c r="B79" s="542" t="s">
        <v>252</v>
      </c>
      <c r="C79" s="538"/>
      <c r="D79" s="543"/>
      <c r="E79" s="544"/>
      <c r="F79" s="289"/>
      <c r="G79" s="518"/>
      <c r="H79" s="344"/>
      <c r="I79" s="294"/>
      <c r="J79" s="294"/>
      <c r="K79" s="535"/>
    </row>
    <row r="80" spans="1:11" s="519" customFormat="1">
      <c r="A80" s="536">
        <v>605</v>
      </c>
      <c r="B80" s="537" t="s">
        <v>253</v>
      </c>
      <c r="C80" s="538"/>
      <c r="D80" s="545"/>
      <c r="E80" s="544"/>
      <c r="F80" s="289"/>
      <c r="G80" s="518"/>
      <c r="H80" s="344"/>
      <c r="I80" s="294"/>
      <c r="J80" s="294"/>
      <c r="K80" s="535"/>
    </row>
    <row r="81" spans="1:11" s="519" customFormat="1">
      <c r="A81" s="536" t="s">
        <v>254</v>
      </c>
      <c r="B81" s="537" t="s">
        <v>255</v>
      </c>
      <c r="C81" s="538"/>
      <c r="D81" s="545"/>
      <c r="E81" s="544"/>
      <c r="F81" s="289"/>
      <c r="G81" s="518"/>
      <c r="H81" s="344"/>
      <c r="I81" s="294"/>
      <c r="J81" s="294"/>
      <c r="K81" s="535"/>
    </row>
    <row r="82" spans="1:11" s="519" customFormat="1" ht="84">
      <c r="A82" s="536" t="s">
        <v>256</v>
      </c>
      <c r="B82" s="537" t="s">
        <v>257</v>
      </c>
      <c r="C82" s="538" t="s">
        <v>113</v>
      </c>
      <c r="D82" s="539">
        <v>230.25</v>
      </c>
      <c r="E82" s="540">
        <v>32.68</v>
      </c>
      <c r="F82" s="311">
        <f>E82*D82</f>
        <v>7525</v>
      </c>
      <c r="G82" s="524"/>
      <c r="H82" s="343">
        <f>D82*G82</f>
        <v>0</v>
      </c>
      <c r="I82" s="297" t="s">
        <v>258</v>
      </c>
      <c r="J82" s="297" t="s">
        <v>259</v>
      </c>
      <c r="K82" s="535"/>
    </row>
    <row r="83" spans="1:11" s="525" customFormat="1" ht="19.8" thickBot="1">
      <c r="A83" s="528" t="s">
        <v>260</v>
      </c>
      <c r="B83" s="529"/>
      <c r="C83" s="530"/>
      <c r="D83" s="531"/>
      <c r="E83" s="532"/>
      <c r="F83" s="345">
        <f>SUM(F6:F82)</f>
        <v>5597074</v>
      </c>
      <c r="G83" s="346"/>
      <c r="H83" s="345">
        <f>SUM(H6:H82)</f>
        <v>104264</v>
      </c>
      <c r="I83" s="347"/>
      <c r="J83" s="347"/>
      <c r="K83" s="533"/>
    </row>
    <row r="89" spans="1:11" ht="15.6">
      <c r="J89" s="527"/>
    </row>
  </sheetData>
  <sheetProtection algorithmName="SHA-512" hashValue="Y3zMX2kUuyQkTME98xa7es7eMYcQJmdDRwP88a/KeIdRGWNZy1mDD6wU+CSjxD0tyBhLy6AWFFz+SgqLr7EMQA==" saltValue="RqAIJr9vp7iMzFPUd4RJtQ==" spinCount="100000" sheet="1" objects="1" scenarios="1"/>
  <mergeCells count="14">
    <mergeCell ref="A1:K1"/>
    <mergeCell ref="A2:F2"/>
    <mergeCell ref="A83:B83"/>
    <mergeCell ref="A4:A5"/>
    <mergeCell ref="B4:B5"/>
    <mergeCell ref="C4:C5"/>
    <mergeCell ref="D4:D5"/>
    <mergeCell ref="E4:E5"/>
    <mergeCell ref="F4:F5"/>
    <mergeCell ref="G4:G5"/>
    <mergeCell ref="H4:H5"/>
    <mergeCell ref="I4:I5"/>
    <mergeCell ref="J4:J5"/>
    <mergeCell ref="K4:K5"/>
  </mergeCells>
  <phoneticPr fontId="98" type="noConversion"/>
  <conditionalFormatting sqref="K21 C6:C83 L1:ID83 A7:B15 A3:G3">
    <cfRule type="cellIs" dxfId="171" priority="16" operator="equal">
      <formula>0</formula>
    </cfRule>
  </conditionalFormatting>
  <conditionalFormatting sqref="K47">
    <cfRule type="cellIs" dxfId="170" priority="15" operator="equal">
      <formula>0</formula>
    </cfRule>
  </conditionalFormatting>
  <conditionalFormatting sqref="K53">
    <cfRule type="cellIs" dxfId="169" priority="14" operator="equal">
      <formula>0</formula>
    </cfRule>
  </conditionalFormatting>
  <conditionalFormatting sqref="K55">
    <cfRule type="cellIs" dxfId="168" priority="13" operator="equal">
      <formula>0</formula>
    </cfRule>
  </conditionalFormatting>
  <conditionalFormatting sqref="K57">
    <cfRule type="cellIs" dxfId="167" priority="12" operator="equal">
      <formula>0</formula>
    </cfRule>
  </conditionalFormatting>
  <conditionalFormatting sqref="K59">
    <cfRule type="cellIs" dxfId="166" priority="11" operator="equal">
      <formula>0</formula>
    </cfRule>
  </conditionalFormatting>
  <conditionalFormatting sqref="K65">
    <cfRule type="cellIs" dxfId="165" priority="10" operator="equal">
      <formula>0</formula>
    </cfRule>
  </conditionalFormatting>
  <conditionalFormatting sqref="K66">
    <cfRule type="cellIs" dxfId="164" priority="9" operator="equal">
      <formula>0</formula>
    </cfRule>
  </conditionalFormatting>
  <conditionalFormatting sqref="K67">
    <cfRule type="cellIs" dxfId="163" priority="8" operator="equal">
      <formula>0</formula>
    </cfRule>
  </conditionalFormatting>
  <conditionalFormatting sqref="K75">
    <cfRule type="cellIs" dxfId="162" priority="7" operator="equal">
      <formula>0</formula>
    </cfRule>
  </conditionalFormatting>
  <conditionalFormatting sqref="K2:K4">
    <cfRule type="cellIs" dxfId="161" priority="86" operator="equal">
      <formula>0</formula>
    </cfRule>
  </conditionalFormatting>
  <conditionalFormatting sqref="K73:K74">
    <cfRule type="cellIs" dxfId="160" priority="6" operator="equal">
      <formula>0</formula>
    </cfRule>
  </conditionalFormatting>
  <conditionalFormatting sqref="G2 A4:D4 A5:C5 A1:A2 H2:J3">
    <cfRule type="cellIs" dxfId="159" priority="88" operator="equal">
      <formula>0</formula>
    </cfRule>
  </conditionalFormatting>
  <printOptions horizontalCentered="1"/>
  <pageMargins left="0.31496062992126" right="0.31496062992126" top="0.74803149606299202" bottom="0.74803149606299202" header="0.31496062992126" footer="0.31496062992126"/>
  <pageSetup paperSize="9" scale="64" fitToHeight="0"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59"/>
  <sheetViews>
    <sheetView topLeftCell="A13" zoomScale="55" zoomScaleNormal="55" workbookViewId="0">
      <selection activeCellId="8" sqref="H45:K59 A45:F59 H34:K44 A34:F44 H13:K33 A13:F33 H10:K12 A10:F12 A1:K9"/>
    </sheetView>
  </sheetViews>
  <sheetFormatPr defaultColWidth="9.109375" defaultRowHeight="12"/>
  <cols>
    <col min="1" max="1" width="18.77734375" style="498" customWidth="1"/>
    <col min="2" max="2" width="27.6640625" style="498" customWidth="1"/>
    <col min="3" max="3" width="6" style="566" customWidth="1"/>
    <col min="4" max="4" width="10.77734375" style="577" customWidth="1"/>
    <col min="5" max="5" width="10.109375" style="498" customWidth="1"/>
    <col min="6" max="6" width="15.77734375" style="498" customWidth="1"/>
    <col min="7" max="7" width="11.5546875" style="498" customWidth="1"/>
    <col min="8" max="8" width="15.77734375" style="498" customWidth="1"/>
    <col min="9" max="9" width="21.88671875" style="516" customWidth="1"/>
    <col min="10" max="10" width="64.33203125" style="565" customWidth="1"/>
    <col min="11" max="11" width="19.77734375" style="566" customWidth="1"/>
    <col min="12" max="12" width="23.33203125" style="566" customWidth="1"/>
    <col min="13" max="13" width="9.109375" style="498"/>
    <col min="14" max="15" width="11.33203125" style="498" customWidth="1"/>
    <col min="16" max="16" width="25" style="498" customWidth="1"/>
    <col min="17" max="16384" width="9.109375" style="498"/>
  </cols>
  <sheetData>
    <row r="1" spans="1:12" s="495" customFormat="1" ht="55.8" customHeight="1">
      <c r="A1" s="499" t="s">
        <v>1527</v>
      </c>
      <c r="B1" s="499"/>
      <c r="C1" s="499"/>
      <c r="D1" s="499"/>
      <c r="E1" s="499"/>
      <c r="F1" s="499"/>
      <c r="G1" s="549"/>
      <c r="H1" s="499"/>
      <c r="I1" s="499"/>
      <c r="J1" s="499"/>
      <c r="K1" s="499"/>
    </row>
    <row r="2" spans="1:12" ht="18.75" customHeight="1">
      <c r="A2" s="550" t="s">
        <v>261</v>
      </c>
      <c r="B2" s="550"/>
      <c r="C2" s="550"/>
      <c r="D2" s="550"/>
      <c r="E2" s="550"/>
      <c r="F2" s="550"/>
      <c r="G2" s="587"/>
      <c r="H2" s="588"/>
      <c r="I2" s="553"/>
      <c r="J2" s="589"/>
      <c r="K2" s="590"/>
    </row>
    <row r="3" spans="1:12" ht="18.75" customHeight="1" thickBot="1">
      <c r="A3" s="591" t="s">
        <v>55</v>
      </c>
      <c r="B3" s="591"/>
      <c r="C3" s="592"/>
      <c r="D3" s="593"/>
      <c r="E3" s="594"/>
      <c r="F3" s="594"/>
      <c r="G3" s="595"/>
      <c r="H3" s="594"/>
      <c r="I3" s="501"/>
      <c r="J3" s="591"/>
      <c r="K3" s="503" t="s">
        <v>39</v>
      </c>
      <c r="L3" s="287"/>
    </row>
    <row r="4" spans="1:12" s="495" customFormat="1" ht="12" customHeight="1">
      <c r="A4" s="369" t="s">
        <v>56</v>
      </c>
      <c r="B4" s="371" t="s">
        <v>57</v>
      </c>
      <c r="C4" s="371" t="s">
        <v>58</v>
      </c>
      <c r="D4" s="557" t="s">
        <v>59</v>
      </c>
      <c r="E4" s="558" t="s">
        <v>1528</v>
      </c>
      <c r="F4" s="371" t="s">
        <v>1529</v>
      </c>
      <c r="G4" s="375" t="s">
        <v>1530</v>
      </c>
      <c r="H4" s="377" t="s">
        <v>1531</v>
      </c>
      <c r="I4" s="377" t="s">
        <v>62</v>
      </c>
      <c r="J4" s="377" t="s">
        <v>63</v>
      </c>
      <c r="K4" s="559" t="s">
        <v>12</v>
      </c>
      <c r="L4" s="299"/>
    </row>
    <row r="5" spans="1:12" s="495" customFormat="1">
      <c r="A5" s="370"/>
      <c r="B5" s="372"/>
      <c r="C5" s="372"/>
      <c r="D5" s="560"/>
      <c r="E5" s="561"/>
      <c r="F5" s="372"/>
      <c r="G5" s="376"/>
      <c r="H5" s="376"/>
      <c r="I5" s="376"/>
      <c r="J5" s="376"/>
      <c r="K5" s="562"/>
      <c r="L5" s="299"/>
    </row>
    <row r="6" spans="1:12" s="568" customFormat="1">
      <c r="A6" s="541">
        <v>100</v>
      </c>
      <c r="B6" s="542" t="s">
        <v>64</v>
      </c>
      <c r="C6" s="288"/>
      <c r="D6" s="543"/>
      <c r="E6" s="582"/>
      <c r="F6" s="288"/>
      <c r="G6" s="293"/>
      <c r="H6" s="293"/>
      <c r="I6" s="294"/>
      <c r="J6" s="307"/>
      <c r="K6" s="579"/>
      <c r="L6" s="292"/>
    </row>
    <row r="7" spans="1:12" s="568" customFormat="1">
      <c r="A7" s="536">
        <v>102</v>
      </c>
      <c r="B7" s="537" t="s">
        <v>66</v>
      </c>
      <c r="C7" s="538"/>
      <c r="D7" s="539"/>
      <c r="E7" s="582"/>
      <c r="F7" s="288"/>
      <c r="G7" s="293"/>
      <c r="H7" s="293"/>
      <c r="I7" s="294"/>
      <c r="J7" s="307"/>
      <c r="K7" s="579"/>
      <c r="L7" s="292"/>
    </row>
    <row r="8" spans="1:12" s="568" customFormat="1" ht="70.05" customHeight="1">
      <c r="A8" s="536" t="s">
        <v>67</v>
      </c>
      <c r="B8" s="537" t="s">
        <v>68</v>
      </c>
      <c r="C8" s="538" t="s">
        <v>65</v>
      </c>
      <c r="D8" s="539">
        <v>1</v>
      </c>
      <c r="E8" s="596">
        <v>1171</v>
      </c>
      <c r="F8" s="290">
        <f>E8*D8</f>
        <v>1171</v>
      </c>
      <c r="G8" s="597">
        <v>1171</v>
      </c>
      <c r="H8" s="290">
        <f>G8*D8</f>
        <v>1171</v>
      </c>
      <c r="I8" s="296" t="s">
        <v>69</v>
      </c>
      <c r="J8" s="297" t="s">
        <v>70</v>
      </c>
      <c r="K8" s="578"/>
      <c r="L8" s="292"/>
    </row>
    <row r="9" spans="1:12" s="568" customFormat="1" ht="145.05000000000001" customHeight="1">
      <c r="A9" s="536" t="s">
        <v>71</v>
      </c>
      <c r="B9" s="537" t="s">
        <v>72</v>
      </c>
      <c r="C9" s="538" t="s">
        <v>65</v>
      </c>
      <c r="D9" s="539">
        <v>1</v>
      </c>
      <c r="E9" s="596">
        <v>4877</v>
      </c>
      <c r="F9" s="290">
        <f>E9*D9</f>
        <v>4877</v>
      </c>
      <c r="G9" s="597">
        <v>4877</v>
      </c>
      <c r="H9" s="290">
        <f>G9*D9</f>
        <v>4877</v>
      </c>
      <c r="I9" s="296" t="s">
        <v>1536</v>
      </c>
      <c r="J9" s="297" t="s">
        <v>73</v>
      </c>
      <c r="K9" s="578"/>
      <c r="L9" s="292"/>
    </row>
    <row r="10" spans="1:12" s="568" customFormat="1">
      <c r="A10" s="536" t="s">
        <v>74</v>
      </c>
      <c r="B10" s="537" t="s">
        <v>75</v>
      </c>
      <c r="C10" s="538"/>
      <c r="D10" s="539"/>
      <c r="E10" s="582"/>
      <c r="F10" s="288"/>
      <c r="G10" s="569"/>
      <c r="H10" s="293"/>
      <c r="I10" s="294"/>
      <c r="J10" s="307"/>
      <c r="K10" s="586"/>
      <c r="L10" s="292"/>
    </row>
    <row r="11" spans="1:12" s="568" customFormat="1" ht="96">
      <c r="A11" s="536" t="s">
        <v>76</v>
      </c>
      <c r="B11" s="537" t="s">
        <v>77</v>
      </c>
      <c r="C11" s="538" t="s">
        <v>78</v>
      </c>
      <c r="D11" s="539">
        <v>45</v>
      </c>
      <c r="E11" s="547">
        <v>530</v>
      </c>
      <c r="F11" s="290">
        <f>E11*D11</f>
        <v>23850</v>
      </c>
      <c r="G11" s="570"/>
      <c r="H11" s="290">
        <f>G11*D11</f>
        <v>0</v>
      </c>
      <c r="I11" s="297" t="s">
        <v>79</v>
      </c>
      <c r="J11" s="296" t="s">
        <v>1511</v>
      </c>
      <c r="K11" s="579"/>
      <c r="L11" s="292"/>
    </row>
    <row r="12" spans="1:12" s="568" customFormat="1">
      <c r="A12" s="536">
        <v>104</v>
      </c>
      <c r="B12" s="537" t="s">
        <v>81</v>
      </c>
      <c r="C12" s="538"/>
      <c r="D12" s="539"/>
      <c r="E12" s="582"/>
      <c r="F12" s="288"/>
      <c r="G12" s="569"/>
      <c r="H12" s="293"/>
      <c r="I12" s="294"/>
      <c r="J12" s="307"/>
      <c r="K12" s="579"/>
      <c r="L12" s="292"/>
    </row>
    <row r="13" spans="1:12" s="568" customFormat="1" ht="28.05" customHeight="1">
      <c r="A13" s="536" t="s">
        <v>82</v>
      </c>
      <c r="B13" s="537" t="s">
        <v>83</v>
      </c>
      <c r="C13" s="538" t="s">
        <v>65</v>
      </c>
      <c r="D13" s="539">
        <v>1</v>
      </c>
      <c r="E13" s="547">
        <v>4915</v>
      </c>
      <c r="F13" s="290">
        <f>E13*D13</f>
        <v>4915</v>
      </c>
      <c r="G13" s="571"/>
      <c r="H13" s="290">
        <f>G13*D13</f>
        <v>0</v>
      </c>
      <c r="I13" s="296" t="s">
        <v>69</v>
      </c>
      <c r="J13" s="296" t="s">
        <v>84</v>
      </c>
      <c r="K13" s="579"/>
      <c r="L13" s="292"/>
    </row>
    <row r="14" spans="1:12" s="568" customFormat="1">
      <c r="A14" s="536">
        <v>109</v>
      </c>
      <c r="B14" s="537" t="s">
        <v>85</v>
      </c>
      <c r="C14" s="538"/>
      <c r="D14" s="539"/>
      <c r="E14" s="582"/>
      <c r="F14" s="288"/>
      <c r="G14" s="569"/>
      <c r="H14" s="293"/>
      <c r="I14" s="296"/>
      <c r="J14" s="294"/>
      <c r="K14" s="579"/>
      <c r="L14" s="292"/>
    </row>
    <row r="15" spans="1:12" s="568" customFormat="1" ht="60">
      <c r="A15" s="536" t="s">
        <v>86</v>
      </c>
      <c r="B15" s="537" t="s">
        <v>85</v>
      </c>
      <c r="C15" s="538" t="s">
        <v>65</v>
      </c>
      <c r="D15" s="539">
        <v>1</v>
      </c>
      <c r="E15" s="547">
        <v>2343</v>
      </c>
      <c r="F15" s="290">
        <f>E15*D15</f>
        <v>2343</v>
      </c>
      <c r="G15" s="523"/>
      <c r="H15" s="290">
        <f>G15*D15</f>
        <v>0</v>
      </c>
      <c r="I15" s="296" t="s">
        <v>69</v>
      </c>
      <c r="J15" s="296" t="s">
        <v>1540</v>
      </c>
      <c r="K15" s="579"/>
      <c r="L15" s="292"/>
    </row>
    <row r="16" spans="1:12" s="568" customFormat="1">
      <c r="A16" s="541">
        <v>300</v>
      </c>
      <c r="B16" s="542" t="s">
        <v>87</v>
      </c>
      <c r="C16" s="538"/>
      <c r="D16" s="543"/>
      <c r="E16" s="582"/>
      <c r="F16" s="288"/>
      <c r="G16" s="567"/>
      <c r="H16" s="293"/>
      <c r="I16" s="294"/>
      <c r="J16" s="307"/>
      <c r="K16" s="579"/>
      <c r="L16" s="292"/>
    </row>
    <row r="17" spans="1:12" s="568" customFormat="1">
      <c r="A17" s="536">
        <v>303</v>
      </c>
      <c r="B17" s="537" t="s">
        <v>88</v>
      </c>
      <c r="C17" s="538"/>
      <c r="D17" s="539"/>
      <c r="E17" s="582"/>
      <c r="F17" s="288"/>
      <c r="G17" s="567"/>
      <c r="H17" s="293"/>
      <c r="I17" s="294"/>
      <c r="J17" s="307"/>
      <c r="K17" s="579"/>
      <c r="L17" s="292"/>
    </row>
    <row r="18" spans="1:12" s="568" customFormat="1">
      <c r="A18" s="536" t="s">
        <v>105</v>
      </c>
      <c r="B18" s="537" t="s">
        <v>106</v>
      </c>
      <c r="C18" s="538"/>
      <c r="D18" s="539"/>
      <c r="E18" s="582"/>
      <c r="F18" s="288"/>
      <c r="G18" s="567"/>
      <c r="H18" s="293"/>
      <c r="I18" s="294"/>
      <c r="J18" s="307"/>
      <c r="K18" s="579"/>
      <c r="L18" s="292"/>
    </row>
    <row r="19" spans="1:12" s="568" customFormat="1">
      <c r="A19" s="536" t="s">
        <v>107</v>
      </c>
      <c r="B19" s="537" t="s">
        <v>108</v>
      </c>
      <c r="C19" s="538"/>
      <c r="D19" s="539"/>
      <c r="E19" s="582"/>
      <c r="F19" s="288"/>
      <c r="G19" s="567"/>
      <c r="H19" s="293"/>
      <c r="I19" s="294"/>
      <c r="J19" s="307"/>
      <c r="K19" s="579"/>
      <c r="L19" s="292"/>
    </row>
    <row r="20" spans="1:12" s="568" customFormat="1">
      <c r="A20" s="536" t="s">
        <v>109</v>
      </c>
      <c r="B20" s="537" t="s">
        <v>110</v>
      </c>
      <c r="C20" s="538"/>
      <c r="D20" s="539"/>
      <c r="E20" s="581"/>
      <c r="F20" s="304"/>
      <c r="G20" s="572"/>
      <c r="H20" s="305"/>
      <c r="I20" s="296"/>
      <c r="J20" s="308"/>
      <c r="K20" s="579"/>
      <c r="L20" s="292"/>
    </row>
    <row r="21" spans="1:12" s="568" customFormat="1" ht="115.05" customHeight="1">
      <c r="A21" s="536" t="s">
        <v>111</v>
      </c>
      <c r="B21" s="537" t="s">
        <v>112</v>
      </c>
      <c r="C21" s="538" t="s">
        <v>113</v>
      </c>
      <c r="D21" s="539">
        <v>316.66699999999997</v>
      </c>
      <c r="E21" s="581">
        <v>57.2</v>
      </c>
      <c r="F21" s="290">
        <f>E21*D21</f>
        <v>18113</v>
      </c>
      <c r="G21" s="573"/>
      <c r="H21" s="290">
        <f>G21*D21</f>
        <v>0</v>
      </c>
      <c r="I21" s="297" t="s">
        <v>114</v>
      </c>
      <c r="J21" s="297" t="s">
        <v>115</v>
      </c>
      <c r="K21" s="534"/>
      <c r="L21" s="292"/>
    </row>
    <row r="22" spans="1:12" s="568" customFormat="1">
      <c r="A22" s="536" t="s">
        <v>116</v>
      </c>
      <c r="B22" s="537" t="s">
        <v>117</v>
      </c>
      <c r="C22" s="538"/>
      <c r="D22" s="539"/>
      <c r="E22" s="581"/>
      <c r="F22" s="304"/>
      <c r="G22" s="572"/>
      <c r="H22" s="305"/>
      <c r="I22" s="296"/>
      <c r="J22" s="308"/>
      <c r="K22" s="579"/>
      <c r="L22" s="292"/>
    </row>
    <row r="23" spans="1:12" s="568" customFormat="1" ht="24">
      <c r="A23" s="536" t="s">
        <v>118</v>
      </c>
      <c r="B23" s="537" t="s">
        <v>119</v>
      </c>
      <c r="C23" s="538"/>
      <c r="D23" s="539"/>
      <c r="E23" s="582"/>
      <c r="F23" s="288"/>
      <c r="G23" s="567"/>
      <c r="H23" s="293"/>
      <c r="I23" s="294"/>
      <c r="J23" s="307"/>
      <c r="K23" s="579"/>
      <c r="L23" s="292"/>
    </row>
    <row r="24" spans="1:12" s="568" customFormat="1" ht="115.05" customHeight="1">
      <c r="A24" s="536" t="s">
        <v>120</v>
      </c>
      <c r="B24" s="537" t="s">
        <v>121</v>
      </c>
      <c r="C24" s="538" t="s">
        <v>113</v>
      </c>
      <c r="D24" s="539">
        <v>575</v>
      </c>
      <c r="E24" s="581">
        <v>49.52</v>
      </c>
      <c r="F24" s="290">
        <f>E24*D24</f>
        <v>28474</v>
      </c>
      <c r="G24" s="573"/>
      <c r="H24" s="290">
        <f>G24*D24</f>
        <v>0</v>
      </c>
      <c r="I24" s="297" t="s">
        <v>114</v>
      </c>
      <c r="J24" s="297" t="s">
        <v>115</v>
      </c>
      <c r="K24" s="579"/>
      <c r="L24" s="292"/>
    </row>
    <row r="25" spans="1:12" s="568" customFormat="1">
      <c r="A25" s="536" t="s">
        <v>122</v>
      </c>
      <c r="B25" s="537" t="s">
        <v>123</v>
      </c>
      <c r="C25" s="538"/>
      <c r="D25" s="539"/>
      <c r="E25" s="582"/>
      <c r="F25" s="288"/>
      <c r="G25" s="567"/>
      <c r="H25" s="293"/>
      <c r="I25" s="294"/>
      <c r="J25" s="307"/>
      <c r="K25" s="579"/>
      <c r="L25" s="292"/>
    </row>
    <row r="26" spans="1:12" s="568" customFormat="1" ht="115.05" customHeight="1">
      <c r="A26" s="536" t="s">
        <v>124</v>
      </c>
      <c r="B26" s="537" t="s">
        <v>125</v>
      </c>
      <c r="C26" s="538" t="s">
        <v>113</v>
      </c>
      <c r="D26" s="539">
        <v>4225</v>
      </c>
      <c r="E26" s="581">
        <v>1.1000000000000001</v>
      </c>
      <c r="F26" s="290">
        <f>E26*D26</f>
        <v>4648</v>
      </c>
      <c r="G26" s="573"/>
      <c r="H26" s="290">
        <f>G26*D26</f>
        <v>0</v>
      </c>
      <c r="I26" s="297" t="s">
        <v>126</v>
      </c>
      <c r="J26" s="297" t="s">
        <v>127</v>
      </c>
      <c r="K26" s="579"/>
      <c r="L26" s="292"/>
    </row>
    <row r="27" spans="1:12" s="568" customFormat="1">
      <c r="A27" s="536" t="s">
        <v>128</v>
      </c>
      <c r="B27" s="537" t="s">
        <v>129</v>
      </c>
      <c r="C27" s="538"/>
      <c r="D27" s="539"/>
      <c r="E27" s="582"/>
      <c r="F27" s="288"/>
      <c r="G27" s="567"/>
      <c r="H27" s="293"/>
      <c r="I27" s="294"/>
      <c r="J27" s="307"/>
      <c r="K27" s="579"/>
      <c r="L27" s="292"/>
    </row>
    <row r="28" spans="1:12" s="568" customFormat="1" ht="115.05" customHeight="1">
      <c r="A28" s="536" t="s">
        <v>130</v>
      </c>
      <c r="B28" s="537" t="s">
        <v>131</v>
      </c>
      <c r="C28" s="538" t="s">
        <v>113</v>
      </c>
      <c r="D28" s="539">
        <v>4213</v>
      </c>
      <c r="E28" s="581">
        <v>5.73</v>
      </c>
      <c r="F28" s="290">
        <f>E28*D28</f>
        <v>24140</v>
      </c>
      <c r="G28" s="573"/>
      <c r="H28" s="290">
        <f>G28*D28</f>
        <v>0</v>
      </c>
      <c r="I28" s="297" t="s">
        <v>132</v>
      </c>
      <c r="J28" s="297" t="s">
        <v>133</v>
      </c>
      <c r="K28" s="579"/>
      <c r="L28" s="292"/>
    </row>
    <row r="29" spans="1:12" s="568" customFormat="1">
      <c r="A29" s="541">
        <v>500</v>
      </c>
      <c r="B29" s="542" t="s">
        <v>24</v>
      </c>
      <c r="C29" s="538"/>
      <c r="D29" s="539"/>
      <c r="E29" s="582"/>
      <c r="F29" s="288"/>
      <c r="G29" s="567"/>
      <c r="H29" s="293"/>
      <c r="I29" s="294"/>
      <c r="J29" s="307"/>
      <c r="K29" s="579"/>
      <c r="L29" s="292"/>
    </row>
    <row r="30" spans="1:12" s="568" customFormat="1">
      <c r="A30" s="536">
        <v>503</v>
      </c>
      <c r="B30" s="537" t="s">
        <v>134</v>
      </c>
      <c r="C30" s="538"/>
      <c r="D30" s="539"/>
      <c r="E30" s="582"/>
      <c r="F30" s="288"/>
      <c r="G30" s="567"/>
      <c r="H30" s="293"/>
      <c r="I30" s="294"/>
      <c r="J30" s="307"/>
      <c r="K30" s="579"/>
      <c r="L30" s="292"/>
    </row>
    <row r="31" spans="1:12" s="568" customFormat="1">
      <c r="A31" s="536" t="s">
        <v>149</v>
      </c>
      <c r="B31" s="537" t="s">
        <v>150</v>
      </c>
      <c r="C31" s="538"/>
      <c r="D31" s="539"/>
      <c r="E31" s="582"/>
      <c r="F31" s="288"/>
      <c r="G31" s="567"/>
      <c r="H31" s="293"/>
      <c r="I31" s="294"/>
      <c r="J31" s="307"/>
      <c r="K31" s="579"/>
      <c r="L31" s="292"/>
    </row>
    <row r="32" spans="1:12" s="568" customFormat="1">
      <c r="A32" s="536" t="s">
        <v>151</v>
      </c>
      <c r="B32" s="537" t="s">
        <v>152</v>
      </c>
      <c r="C32" s="538"/>
      <c r="D32" s="539"/>
      <c r="E32" s="582"/>
      <c r="F32" s="288"/>
      <c r="G32" s="567"/>
      <c r="H32" s="293"/>
      <c r="I32" s="294"/>
      <c r="J32" s="307"/>
      <c r="K32" s="579"/>
      <c r="L32" s="292"/>
    </row>
    <row r="33" spans="1:12" s="568" customFormat="1" ht="79.95" customHeight="1">
      <c r="A33" s="536" t="s">
        <v>153</v>
      </c>
      <c r="B33" s="537" t="s">
        <v>154</v>
      </c>
      <c r="C33" s="538" t="s">
        <v>95</v>
      </c>
      <c r="D33" s="539">
        <v>221</v>
      </c>
      <c r="E33" s="581">
        <v>239.74</v>
      </c>
      <c r="F33" s="290">
        <f>E33*D33</f>
        <v>52983</v>
      </c>
      <c r="G33" s="573"/>
      <c r="H33" s="290">
        <f>G33*D33</f>
        <v>0</v>
      </c>
      <c r="I33" s="297" t="s">
        <v>155</v>
      </c>
      <c r="J33" s="297" t="s">
        <v>156</v>
      </c>
      <c r="K33" s="579"/>
      <c r="L33" s="292"/>
    </row>
    <row r="34" spans="1:12" s="568" customFormat="1" ht="79.95" customHeight="1">
      <c r="A34" s="536" t="s">
        <v>157</v>
      </c>
      <c r="B34" s="537" t="s">
        <v>158</v>
      </c>
      <c r="C34" s="538" t="s">
        <v>95</v>
      </c>
      <c r="D34" s="539">
        <v>55</v>
      </c>
      <c r="E34" s="581">
        <v>73.8</v>
      </c>
      <c r="F34" s="290">
        <f>E34*D34</f>
        <v>4059</v>
      </c>
      <c r="G34" s="573"/>
      <c r="H34" s="290">
        <f>G34*D34</f>
        <v>0</v>
      </c>
      <c r="I34" s="297" t="s">
        <v>155</v>
      </c>
      <c r="J34" s="297" t="s">
        <v>156</v>
      </c>
      <c r="K34" s="579"/>
      <c r="L34" s="292"/>
    </row>
    <row r="35" spans="1:12" s="568" customFormat="1" ht="90" customHeight="1">
      <c r="A35" s="536" t="s">
        <v>159</v>
      </c>
      <c r="B35" s="537" t="s">
        <v>102</v>
      </c>
      <c r="C35" s="538" t="s">
        <v>95</v>
      </c>
      <c r="D35" s="539">
        <v>276</v>
      </c>
      <c r="E35" s="581">
        <v>20</v>
      </c>
      <c r="F35" s="290">
        <f>E35*D35</f>
        <v>5520</v>
      </c>
      <c r="G35" s="573"/>
      <c r="H35" s="290">
        <f>G35*D35</f>
        <v>0</v>
      </c>
      <c r="I35" s="297" t="s">
        <v>103</v>
      </c>
      <c r="J35" s="297" t="s">
        <v>104</v>
      </c>
      <c r="K35" s="579"/>
      <c r="L35" s="292"/>
    </row>
    <row r="36" spans="1:12" s="568" customFormat="1">
      <c r="A36" s="536" t="s">
        <v>160</v>
      </c>
      <c r="B36" s="537" t="s">
        <v>161</v>
      </c>
      <c r="C36" s="538"/>
      <c r="D36" s="539"/>
      <c r="E36" s="582"/>
      <c r="F36" s="288"/>
      <c r="G36" s="567"/>
      <c r="H36" s="293"/>
      <c r="I36" s="294"/>
      <c r="J36" s="307"/>
      <c r="K36" s="579"/>
      <c r="L36" s="292"/>
    </row>
    <row r="37" spans="1:12" s="568" customFormat="1" ht="105" customHeight="1">
      <c r="A37" s="536" t="s">
        <v>166</v>
      </c>
      <c r="B37" s="537" t="s">
        <v>262</v>
      </c>
      <c r="C37" s="538" t="s">
        <v>164</v>
      </c>
      <c r="D37" s="539">
        <v>3912.3</v>
      </c>
      <c r="E37" s="581">
        <v>10.66</v>
      </c>
      <c r="F37" s="290">
        <f>E37*D37</f>
        <v>41705</v>
      </c>
      <c r="G37" s="573"/>
      <c r="H37" s="290">
        <f>G37*D37</f>
        <v>0</v>
      </c>
      <c r="I37" s="297" t="s">
        <v>167</v>
      </c>
      <c r="J37" s="297" t="s">
        <v>168</v>
      </c>
      <c r="K37" s="579"/>
      <c r="L37" s="292"/>
    </row>
    <row r="38" spans="1:12" s="568" customFormat="1" ht="115.05" customHeight="1">
      <c r="A38" s="536" t="s">
        <v>263</v>
      </c>
      <c r="B38" s="537" t="s">
        <v>176</v>
      </c>
      <c r="C38" s="538" t="s">
        <v>164</v>
      </c>
      <c r="D38" s="539">
        <v>9043.2000000000007</v>
      </c>
      <c r="E38" s="581">
        <v>6.64</v>
      </c>
      <c r="F38" s="290">
        <f>E38*D38</f>
        <v>60047</v>
      </c>
      <c r="G38" s="573"/>
      <c r="H38" s="290">
        <f>G38*D38</f>
        <v>0</v>
      </c>
      <c r="I38" s="297" t="s">
        <v>177</v>
      </c>
      <c r="J38" s="297" t="s">
        <v>178</v>
      </c>
      <c r="K38" s="579"/>
      <c r="L38" s="292"/>
    </row>
    <row r="39" spans="1:12" s="568" customFormat="1">
      <c r="A39" s="536" t="s">
        <v>197</v>
      </c>
      <c r="B39" s="537" t="s">
        <v>198</v>
      </c>
      <c r="C39" s="538"/>
      <c r="D39" s="539"/>
      <c r="E39" s="581"/>
      <c r="F39" s="290"/>
      <c r="G39" s="574"/>
      <c r="H39" s="300"/>
      <c r="I39" s="297"/>
      <c r="J39" s="309"/>
      <c r="K39" s="579"/>
      <c r="L39" s="292"/>
    </row>
    <row r="40" spans="1:12" s="568" customFormat="1" ht="120" customHeight="1">
      <c r="A40" s="536" t="s">
        <v>199</v>
      </c>
      <c r="B40" s="537" t="s">
        <v>264</v>
      </c>
      <c r="C40" s="538" t="s">
        <v>95</v>
      </c>
      <c r="D40" s="539">
        <v>221</v>
      </c>
      <c r="E40" s="581">
        <v>51.03</v>
      </c>
      <c r="F40" s="290">
        <f>E40*D40</f>
        <v>11278</v>
      </c>
      <c r="G40" s="573"/>
      <c r="H40" s="290">
        <f>G40*D40</f>
        <v>0</v>
      </c>
      <c r="I40" s="297" t="s">
        <v>191</v>
      </c>
      <c r="J40" s="297" t="s">
        <v>1516</v>
      </c>
      <c r="K40" s="578"/>
      <c r="L40" s="292"/>
    </row>
    <row r="41" spans="1:12" s="568" customFormat="1">
      <c r="A41" s="536" t="s">
        <v>202</v>
      </c>
      <c r="B41" s="537" t="s">
        <v>203</v>
      </c>
      <c r="C41" s="538"/>
      <c r="D41" s="539"/>
      <c r="E41" s="581"/>
      <c r="F41" s="288"/>
      <c r="G41" s="567"/>
      <c r="H41" s="293"/>
      <c r="I41" s="294"/>
      <c r="J41" s="307"/>
      <c r="K41" s="579"/>
      <c r="L41" s="292"/>
    </row>
    <row r="42" spans="1:12" s="568" customFormat="1">
      <c r="A42" s="536" t="s">
        <v>214</v>
      </c>
      <c r="B42" s="537" t="s">
        <v>215</v>
      </c>
      <c r="C42" s="538"/>
      <c r="D42" s="539"/>
      <c r="E42" s="581"/>
      <c r="F42" s="290"/>
      <c r="G42" s="574"/>
      <c r="H42" s="300"/>
      <c r="I42" s="297"/>
      <c r="J42" s="309"/>
      <c r="K42" s="534"/>
      <c r="L42" s="292"/>
    </row>
    <row r="43" spans="1:12" s="568" customFormat="1" ht="94.95" customHeight="1">
      <c r="A43" s="536" t="s">
        <v>216</v>
      </c>
      <c r="B43" s="537" t="s">
        <v>217</v>
      </c>
      <c r="C43" s="538" t="s">
        <v>95</v>
      </c>
      <c r="D43" s="539">
        <v>8.4</v>
      </c>
      <c r="E43" s="581">
        <v>280</v>
      </c>
      <c r="F43" s="290">
        <f>E43*D43</f>
        <v>2352</v>
      </c>
      <c r="G43" s="573"/>
      <c r="H43" s="290">
        <f>G43*D43</f>
        <v>0</v>
      </c>
      <c r="I43" s="297" t="s">
        <v>201</v>
      </c>
      <c r="J43" s="297" t="s">
        <v>1518</v>
      </c>
      <c r="K43" s="578"/>
      <c r="L43" s="292"/>
    </row>
    <row r="44" spans="1:12" s="568" customFormat="1" ht="151.94999999999999" customHeight="1">
      <c r="A44" s="536" t="s">
        <v>218</v>
      </c>
      <c r="B44" s="537" t="s">
        <v>219</v>
      </c>
      <c r="C44" s="538" t="s">
        <v>95</v>
      </c>
      <c r="D44" s="539">
        <v>16.600000000000001</v>
      </c>
      <c r="E44" s="581">
        <v>212.47</v>
      </c>
      <c r="F44" s="290">
        <f>E44*D44</f>
        <v>3527</v>
      </c>
      <c r="G44" s="573"/>
      <c r="H44" s="290">
        <f>G44*D44</f>
        <v>0</v>
      </c>
      <c r="I44" s="297" t="s">
        <v>201</v>
      </c>
      <c r="J44" s="297" t="s">
        <v>1519</v>
      </c>
      <c r="K44" s="578"/>
      <c r="L44" s="292"/>
    </row>
    <row r="45" spans="1:12" s="568" customFormat="1" ht="115.05" customHeight="1">
      <c r="A45" s="536" t="s">
        <v>220</v>
      </c>
      <c r="B45" s="537" t="s">
        <v>265</v>
      </c>
      <c r="C45" s="538" t="s">
        <v>164</v>
      </c>
      <c r="D45" s="539">
        <v>4419</v>
      </c>
      <c r="E45" s="581">
        <v>0.72</v>
      </c>
      <c r="F45" s="290">
        <f>E45*D45</f>
        <v>3182</v>
      </c>
      <c r="G45" s="573"/>
      <c r="H45" s="290">
        <f>G45*D45</f>
        <v>0</v>
      </c>
      <c r="I45" s="297" t="s">
        <v>165</v>
      </c>
      <c r="J45" s="297" t="s">
        <v>1512</v>
      </c>
      <c r="K45" s="578"/>
      <c r="L45" s="292"/>
    </row>
    <row r="46" spans="1:12" s="568" customFormat="1" ht="102" customHeight="1">
      <c r="A46" s="536" t="s">
        <v>222</v>
      </c>
      <c r="B46" s="537" t="s">
        <v>223</v>
      </c>
      <c r="C46" s="538" t="s">
        <v>164</v>
      </c>
      <c r="D46" s="539">
        <v>166</v>
      </c>
      <c r="E46" s="581">
        <v>9.09</v>
      </c>
      <c r="F46" s="290">
        <f>E46*D46</f>
        <v>1509</v>
      </c>
      <c r="G46" s="573"/>
      <c r="H46" s="290">
        <f>G46*D46</f>
        <v>0</v>
      </c>
      <c r="I46" s="297" t="s">
        <v>181</v>
      </c>
      <c r="J46" s="297" t="s">
        <v>224</v>
      </c>
      <c r="K46" s="579"/>
      <c r="L46" s="292"/>
    </row>
    <row r="47" spans="1:12" s="568" customFormat="1" ht="79.95" customHeight="1">
      <c r="A47" s="536" t="s">
        <v>225</v>
      </c>
      <c r="B47" s="537" t="s">
        <v>226</v>
      </c>
      <c r="C47" s="538" t="s">
        <v>164</v>
      </c>
      <c r="D47" s="539">
        <v>518</v>
      </c>
      <c r="E47" s="581">
        <v>11</v>
      </c>
      <c r="F47" s="290">
        <f>E47*D47</f>
        <v>5698</v>
      </c>
      <c r="G47" s="573"/>
      <c r="H47" s="290">
        <f>G47*D47</f>
        <v>0</v>
      </c>
      <c r="I47" s="297" t="s">
        <v>227</v>
      </c>
      <c r="J47" s="297" t="s">
        <v>228</v>
      </c>
      <c r="K47" s="579"/>
      <c r="L47" s="292"/>
    </row>
    <row r="48" spans="1:12" s="568" customFormat="1">
      <c r="A48" s="536" t="s">
        <v>229</v>
      </c>
      <c r="B48" s="537" t="s">
        <v>230</v>
      </c>
      <c r="C48" s="538"/>
      <c r="D48" s="539"/>
      <c r="E48" s="581"/>
      <c r="F48" s="290"/>
      <c r="G48" s="574"/>
      <c r="H48" s="300"/>
      <c r="I48" s="297"/>
      <c r="J48" s="309"/>
      <c r="K48" s="534"/>
      <c r="L48" s="292"/>
    </row>
    <row r="49" spans="1:12" s="568" customFormat="1">
      <c r="A49" s="536" t="s">
        <v>231</v>
      </c>
      <c r="B49" s="537" t="s">
        <v>232</v>
      </c>
      <c r="C49" s="538"/>
      <c r="D49" s="539"/>
      <c r="E49" s="582"/>
      <c r="F49" s="288"/>
      <c r="G49" s="567"/>
      <c r="H49" s="293"/>
      <c r="I49" s="294"/>
      <c r="J49" s="307"/>
      <c r="K49" s="579"/>
      <c r="L49" s="292"/>
    </row>
    <row r="50" spans="1:12" s="568" customFormat="1">
      <c r="A50" s="536" t="s">
        <v>233</v>
      </c>
      <c r="B50" s="537" t="s">
        <v>234</v>
      </c>
      <c r="C50" s="538"/>
      <c r="D50" s="539"/>
      <c r="E50" s="581"/>
      <c r="F50" s="290"/>
      <c r="G50" s="574"/>
      <c r="H50" s="300"/>
      <c r="I50" s="297"/>
      <c r="J50" s="309"/>
      <c r="K50" s="534"/>
      <c r="L50" s="292"/>
    </row>
    <row r="51" spans="1:12" s="568" customFormat="1" ht="169.95" customHeight="1">
      <c r="A51" s="536" t="s">
        <v>235</v>
      </c>
      <c r="B51" s="537" t="s">
        <v>236</v>
      </c>
      <c r="C51" s="538" t="s">
        <v>113</v>
      </c>
      <c r="D51" s="539">
        <v>383.33300000000003</v>
      </c>
      <c r="E51" s="581">
        <v>17.86</v>
      </c>
      <c r="F51" s="290">
        <f>E51*D51</f>
        <v>6846</v>
      </c>
      <c r="G51" s="573"/>
      <c r="H51" s="290">
        <f>G51*D51</f>
        <v>0</v>
      </c>
      <c r="I51" s="297" t="s">
        <v>237</v>
      </c>
      <c r="J51" s="297" t="s">
        <v>1520</v>
      </c>
      <c r="K51" s="578"/>
      <c r="L51" s="292"/>
    </row>
    <row r="52" spans="1:12" s="568" customFormat="1" ht="124.95" customHeight="1">
      <c r="A52" s="536" t="s">
        <v>240</v>
      </c>
      <c r="B52" s="537" t="s">
        <v>241</v>
      </c>
      <c r="C52" s="538" t="s">
        <v>164</v>
      </c>
      <c r="D52" s="539">
        <v>7855</v>
      </c>
      <c r="E52" s="581">
        <v>0.6</v>
      </c>
      <c r="F52" s="290">
        <f>E52*D52</f>
        <v>4713</v>
      </c>
      <c r="G52" s="573"/>
      <c r="H52" s="290">
        <f>G52*D52</f>
        <v>0</v>
      </c>
      <c r="I52" s="297" t="s">
        <v>242</v>
      </c>
      <c r="J52" s="297" t="s">
        <v>1514</v>
      </c>
      <c r="K52" s="578"/>
      <c r="L52" s="292"/>
    </row>
    <row r="53" spans="1:12" s="568" customFormat="1" ht="79.95" customHeight="1">
      <c r="A53" s="536" t="s">
        <v>243</v>
      </c>
      <c r="B53" s="537" t="s">
        <v>244</v>
      </c>
      <c r="C53" s="538" t="s">
        <v>95</v>
      </c>
      <c r="D53" s="539">
        <v>130</v>
      </c>
      <c r="E53" s="581">
        <v>82</v>
      </c>
      <c r="F53" s="290">
        <f>E53*D53</f>
        <v>10660</v>
      </c>
      <c r="G53" s="573"/>
      <c r="H53" s="290">
        <f>G53*D53</f>
        <v>0</v>
      </c>
      <c r="I53" s="297" t="s">
        <v>245</v>
      </c>
      <c r="J53" s="297" t="s">
        <v>246</v>
      </c>
      <c r="K53" s="579"/>
      <c r="L53" s="292"/>
    </row>
    <row r="54" spans="1:12" s="568" customFormat="1" ht="90" customHeight="1">
      <c r="A54" s="536" t="s">
        <v>247</v>
      </c>
      <c r="B54" s="537" t="s">
        <v>248</v>
      </c>
      <c r="C54" s="538" t="s">
        <v>95</v>
      </c>
      <c r="D54" s="539">
        <v>130</v>
      </c>
      <c r="E54" s="581">
        <v>20</v>
      </c>
      <c r="F54" s="290">
        <f>E54*D54</f>
        <v>2600</v>
      </c>
      <c r="G54" s="573"/>
      <c r="H54" s="290">
        <f>G54*D54</f>
        <v>0</v>
      </c>
      <c r="I54" s="297" t="s">
        <v>103</v>
      </c>
      <c r="J54" s="297" t="s">
        <v>104</v>
      </c>
      <c r="K54" s="534"/>
      <c r="L54" s="292"/>
    </row>
    <row r="55" spans="1:12" s="568" customFormat="1">
      <c r="A55" s="541">
        <v>600</v>
      </c>
      <c r="B55" s="542" t="s">
        <v>252</v>
      </c>
      <c r="C55" s="538"/>
      <c r="D55" s="543"/>
      <c r="E55" s="582"/>
      <c r="F55" s="288"/>
      <c r="G55" s="567"/>
      <c r="H55" s="293"/>
      <c r="I55" s="294"/>
      <c r="J55" s="307"/>
      <c r="K55" s="579"/>
      <c r="L55" s="292"/>
    </row>
    <row r="56" spans="1:12" s="568" customFormat="1">
      <c r="A56" s="536">
        <v>605</v>
      </c>
      <c r="B56" s="537" t="s">
        <v>253</v>
      </c>
      <c r="C56" s="538"/>
      <c r="D56" s="545"/>
      <c r="E56" s="582"/>
      <c r="F56" s="288"/>
      <c r="G56" s="567"/>
      <c r="H56" s="293"/>
      <c r="I56" s="294"/>
      <c r="J56" s="307"/>
      <c r="K56" s="579"/>
      <c r="L56" s="292"/>
    </row>
    <row r="57" spans="1:12" s="568" customFormat="1">
      <c r="A57" s="536" t="s">
        <v>254</v>
      </c>
      <c r="B57" s="537" t="s">
        <v>255</v>
      </c>
      <c r="C57" s="538"/>
      <c r="D57" s="545"/>
      <c r="E57" s="582"/>
      <c r="F57" s="288"/>
      <c r="G57" s="567"/>
      <c r="H57" s="293"/>
      <c r="I57" s="294"/>
      <c r="J57" s="307"/>
      <c r="K57" s="579"/>
      <c r="L57" s="292"/>
    </row>
    <row r="58" spans="1:12" s="568" customFormat="1" ht="79.95" customHeight="1">
      <c r="A58" s="536" t="s">
        <v>256</v>
      </c>
      <c r="B58" s="537" t="s">
        <v>257</v>
      </c>
      <c r="C58" s="538" t="s">
        <v>113</v>
      </c>
      <c r="D58" s="539">
        <v>24</v>
      </c>
      <c r="E58" s="581">
        <v>32.68</v>
      </c>
      <c r="F58" s="290">
        <f>E58*D58</f>
        <v>784</v>
      </c>
      <c r="G58" s="573"/>
      <c r="H58" s="290">
        <f>G58*D58</f>
        <v>0</v>
      </c>
      <c r="I58" s="297" t="s">
        <v>258</v>
      </c>
      <c r="J58" s="297" t="s">
        <v>259</v>
      </c>
      <c r="K58" s="579"/>
      <c r="L58" s="292"/>
    </row>
    <row r="59" spans="1:12" s="576" customFormat="1" ht="23.1" customHeight="1" thickBot="1">
      <c r="A59" s="583" t="s">
        <v>260</v>
      </c>
      <c r="B59" s="584"/>
      <c r="C59" s="530"/>
      <c r="D59" s="531"/>
      <c r="E59" s="585"/>
      <c r="F59" s="348">
        <f t="shared" ref="F59:H59" si="0">SUM(F6:F58)</f>
        <v>329994</v>
      </c>
      <c r="G59" s="575"/>
      <c r="H59" s="348">
        <f t="shared" si="0"/>
        <v>6048</v>
      </c>
      <c r="I59" s="347"/>
      <c r="J59" s="349"/>
      <c r="K59" s="580"/>
      <c r="L59" s="350"/>
    </row>
  </sheetData>
  <sheetProtection algorithmName="SHA-512" hashValue="EV9kKBTEnbcOLHPJl1ilkzruoBBC0M6mGE1aTbV1oIdHBp0EcS8siFIY2jC4ASVB6MuueC4qstzpNtWE57lExg==" saltValue="U8vnb+mzKA3Y13p7It3WSQ==" spinCount="100000" sheet="1" objects="1" scenarios="1"/>
  <mergeCells count="14">
    <mergeCell ref="A1:K1"/>
    <mergeCell ref="A2:G2"/>
    <mergeCell ref="A59:B59"/>
    <mergeCell ref="A4:A5"/>
    <mergeCell ref="B4:B5"/>
    <mergeCell ref="C4:C5"/>
    <mergeCell ref="D4:D5"/>
    <mergeCell ref="E4:E5"/>
    <mergeCell ref="F4:F5"/>
    <mergeCell ref="G4:G5"/>
    <mergeCell ref="H4:H5"/>
    <mergeCell ref="I4:I5"/>
    <mergeCell ref="J4:J5"/>
    <mergeCell ref="K4:K5"/>
  </mergeCells>
  <phoneticPr fontId="98" type="noConversion"/>
  <conditionalFormatting sqref="C6:C59 M6:IM59 A7:B15 A3:K3">
    <cfRule type="cellIs" dxfId="158" priority="8" operator="equal">
      <formula>0</formula>
    </cfRule>
  </conditionalFormatting>
  <conditionalFormatting sqref="K4:L4">
    <cfRule type="cellIs" dxfId="157" priority="9" operator="equal">
      <formula>0</formula>
    </cfRule>
  </conditionalFormatting>
  <conditionalFormatting sqref="K21">
    <cfRule type="cellIs" dxfId="156" priority="21" operator="equal">
      <formula>0</formula>
    </cfRule>
  </conditionalFormatting>
  <conditionalFormatting sqref="K42">
    <cfRule type="cellIs" dxfId="155" priority="20" operator="equal">
      <formula>0</formula>
    </cfRule>
  </conditionalFormatting>
  <conditionalFormatting sqref="K48">
    <cfRule type="cellIs" dxfId="154" priority="19" operator="equal">
      <formula>0</formula>
    </cfRule>
  </conditionalFormatting>
  <conditionalFormatting sqref="K50">
    <cfRule type="cellIs" dxfId="153" priority="18" operator="equal">
      <formula>0</formula>
    </cfRule>
  </conditionalFormatting>
  <conditionalFormatting sqref="K54">
    <cfRule type="cellIs" dxfId="152" priority="16" operator="equal">
      <formula>0</formula>
    </cfRule>
  </conditionalFormatting>
  <conditionalFormatting sqref="M2:IM3 A2 H2:J2">
    <cfRule type="cellIs" dxfId="151" priority="24" operator="equal">
      <formula>0</formula>
    </cfRule>
  </conditionalFormatting>
  <conditionalFormatting sqref="K2:L2 L3">
    <cfRule type="cellIs" dxfId="150" priority="23" operator="equal">
      <formula>0</formula>
    </cfRule>
  </conditionalFormatting>
  <conditionalFormatting sqref="A4:D4 A5:C5 M4:IM5">
    <cfRule type="cellIs" dxfId="149" priority="10" operator="equal">
      <formula>0</formula>
    </cfRule>
  </conditionalFormatting>
  <conditionalFormatting sqref="L1:ID1">
    <cfRule type="cellIs" dxfId="148" priority="1" operator="equal">
      <formula>0</formula>
    </cfRule>
  </conditionalFormatting>
  <conditionalFormatting sqref="A1">
    <cfRule type="cellIs" dxfId="147" priority="2" operator="equal">
      <formula>0</formula>
    </cfRule>
  </conditionalFormatting>
  <printOptions horizontalCentered="1"/>
  <pageMargins left="0.31496062992126" right="0.31496062992126" top="0.74803149606299202" bottom="0.74803149606299202" header="0.31496062992126" footer="0.31496062992126"/>
  <pageSetup paperSize="9" scale="64" fitToHeight="0"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73"/>
  <sheetViews>
    <sheetView zoomScale="55" zoomScaleNormal="55" workbookViewId="0">
      <selection activeCellId="16" sqref="J64:M73 A64:H73 J58:M63 A58:H63 J50:M57 A50:H57 J46:M49 A46:H49 J36:M45 A36:H45 J24:M35 A24:H35 J15:M23 A15:H23 J10:M14 A10:H14 A1:M9"/>
    </sheetView>
  </sheetViews>
  <sheetFormatPr defaultColWidth="9.109375" defaultRowHeight="12"/>
  <cols>
    <col min="1" max="1" width="20.6640625" style="498" customWidth="1"/>
    <col min="2" max="2" width="27.33203125" style="498" customWidth="1"/>
    <col min="3" max="3" width="6.33203125" style="566" customWidth="1"/>
    <col min="4" max="4" width="10.77734375" style="577" customWidth="1"/>
    <col min="5" max="5" width="9.6640625" style="498" hidden="1" customWidth="1"/>
    <col min="6" max="6" width="14.5546875" style="498" hidden="1" customWidth="1"/>
    <col min="7" max="7" width="10.21875" style="498" customWidth="1"/>
    <col min="8" max="8" width="15.77734375" style="498" customWidth="1"/>
    <col min="9" max="9" width="11.44140625" style="498" customWidth="1"/>
    <col min="10" max="10" width="15.77734375" style="498" customWidth="1"/>
    <col min="11" max="11" width="23.6640625" style="565" customWidth="1"/>
    <col min="12" max="12" width="62.5546875" style="565" customWidth="1"/>
    <col min="13" max="13" width="19.77734375" style="566" customWidth="1"/>
    <col min="14" max="16384" width="9.109375" style="498"/>
  </cols>
  <sheetData>
    <row r="1" spans="1:13" s="495" customFormat="1" ht="55.8" customHeight="1">
      <c r="A1" s="499" t="s">
        <v>1527</v>
      </c>
      <c r="B1" s="499"/>
      <c r="C1" s="499"/>
      <c r="D1" s="499"/>
      <c r="E1" s="499"/>
      <c r="F1" s="499"/>
      <c r="G1" s="499"/>
      <c r="H1" s="499"/>
      <c r="I1" s="549"/>
      <c r="J1" s="499"/>
      <c r="K1" s="499"/>
      <c r="L1" s="499"/>
      <c r="M1" s="499"/>
    </row>
    <row r="2" spans="1:13" ht="18.75" customHeight="1">
      <c r="A2" s="550" t="s">
        <v>266</v>
      </c>
      <c r="B2" s="550"/>
      <c r="C2" s="550"/>
      <c r="D2" s="550"/>
      <c r="E2" s="550"/>
      <c r="F2" s="550"/>
      <c r="G2" s="550"/>
      <c r="H2" s="550"/>
      <c r="I2" s="587"/>
      <c r="J2" s="588"/>
      <c r="K2" s="589"/>
      <c r="L2" s="589"/>
      <c r="M2" s="590"/>
    </row>
    <row r="3" spans="1:13" ht="18.75" customHeight="1">
      <c r="A3" s="591" t="s">
        <v>55</v>
      </c>
      <c r="B3" s="591"/>
      <c r="C3" s="592"/>
      <c r="D3" s="593"/>
      <c r="E3" s="591"/>
      <c r="F3" s="594"/>
      <c r="G3" s="594"/>
      <c r="H3" s="594"/>
      <c r="I3" s="595"/>
      <c r="J3" s="594"/>
      <c r="K3" s="591"/>
      <c r="L3" s="591"/>
      <c r="M3" s="503" t="s">
        <v>39</v>
      </c>
    </row>
    <row r="4" spans="1:13" ht="20.100000000000001" customHeight="1">
      <c r="A4" s="378" t="s">
        <v>56</v>
      </c>
      <c r="B4" s="380" t="s">
        <v>57</v>
      </c>
      <c r="C4" s="380" t="s">
        <v>58</v>
      </c>
      <c r="D4" s="557" t="s">
        <v>59</v>
      </c>
      <c r="E4" s="558" t="s">
        <v>60</v>
      </c>
      <c r="F4" s="380" t="s">
        <v>61</v>
      </c>
      <c r="G4" s="558" t="s">
        <v>1528</v>
      </c>
      <c r="H4" s="371" t="s">
        <v>1529</v>
      </c>
      <c r="I4" s="375" t="s">
        <v>1530</v>
      </c>
      <c r="J4" s="377" t="s">
        <v>1531</v>
      </c>
      <c r="K4" s="377" t="s">
        <v>62</v>
      </c>
      <c r="L4" s="377" t="s">
        <v>63</v>
      </c>
      <c r="M4" s="600" t="s">
        <v>12</v>
      </c>
    </row>
    <row r="5" spans="1:13" ht="20.100000000000001" customHeight="1">
      <c r="A5" s="379"/>
      <c r="B5" s="381"/>
      <c r="C5" s="381"/>
      <c r="D5" s="560"/>
      <c r="E5" s="561"/>
      <c r="F5" s="381"/>
      <c r="G5" s="561"/>
      <c r="H5" s="372"/>
      <c r="I5" s="376"/>
      <c r="J5" s="376"/>
      <c r="K5" s="376"/>
      <c r="L5" s="376"/>
      <c r="M5" s="601"/>
    </row>
    <row r="6" spans="1:13" s="568" customFormat="1">
      <c r="A6" s="541">
        <v>100</v>
      </c>
      <c r="B6" s="542" t="s">
        <v>64</v>
      </c>
      <c r="C6" s="288"/>
      <c r="D6" s="543"/>
      <c r="E6" s="582"/>
      <c r="F6" s="288"/>
      <c r="G6" s="582"/>
      <c r="H6" s="288"/>
      <c r="I6" s="293"/>
      <c r="J6" s="293"/>
      <c r="K6" s="294"/>
      <c r="L6" s="294"/>
      <c r="M6" s="579"/>
    </row>
    <row r="7" spans="1:13" s="568" customFormat="1">
      <c r="A7" s="536">
        <v>102</v>
      </c>
      <c r="B7" s="537" t="s">
        <v>66</v>
      </c>
      <c r="C7" s="538"/>
      <c r="D7" s="539"/>
      <c r="E7" s="545"/>
      <c r="F7" s="288"/>
      <c r="G7" s="582"/>
      <c r="H7" s="288"/>
      <c r="I7" s="293"/>
      <c r="J7" s="293"/>
      <c r="K7" s="294"/>
      <c r="L7" s="294"/>
      <c r="M7" s="579"/>
    </row>
    <row r="8" spans="1:13" s="568" customFormat="1" ht="70.05" customHeight="1">
      <c r="A8" s="536" t="s">
        <v>67</v>
      </c>
      <c r="B8" s="537" t="s">
        <v>68</v>
      </c>
      <c r="C8" s="538" t="s">
        <v>65</v>
      </c>
      <c r="D8" s="539">
        <v>1</v>
      </c>
      <c r="E8" s="545">
        <v>19062.34</v>
      </c>
      <c r="F8" s="290">
        <f>D8*E8</f>
        <v>19062</v>
      </c>
      <c r="G8" s="596">
        <v>9615</v>
      </c>
      <c r="H8" s="290">
        <f t="shared" ref="H8:H9" si="0">G8*D8</f>
        <v>9615</v>
      </c>
      <c r="I8" s="596">
        <v>9615</v>
      </c>
      <c r="J8" s="290">
        <f>I8*D8</f>
        <v>9615</v>
      </c>
      <c r="K8" s="296" t="s">
        <v>69</v>
      </c>
      <c r="L8" s="297" t="s">
        <v>70</v>
      </c>
      <c r="M8" s="578"/>
    </row>
    <row r="9" spans="1:13" s="568" customFormat="1" ht="130.05000000000001" customHeight="1">
      <c r="A9" s="536" t="s">
        <v>71</v>
      </c>
      <c r="B9" s="537" t="s">
        <v>72</v>
      </c>
      <c r="C9" s="538" t="s">
        <v>65</v>
      </c>
      <c r="D9" s="539">
        <v>1</v>
      </c>
      <c r="E9" s="545">
        <v>111661</v>
      </c>
      <c r="F9" s="290">
        <f>D9*E9</f>
        <v>111661</v>
      </c>
      <c r="G9" s="596">
        <v>37114</v>
      </c>
      <c r="H9" s="290">
        <f t="shared" si="0"/>
        <v>37114</v>
      </c>
      <c r="I9" s="596">
        <v>37114</v>
      </c>
      <c r="J9" s="290">
        <f>I9*D9</f>
        <v>37114</v>
      </c>
      <c r="K9" s="296" t="s">
        <v>1536</v>
      </c>
      <c r="L9" s="297" t="s">
        <v>73</v>
      </c>
      <c r="M9" s="578"/>
    </row>
    <row r="10" spans="1:13" s="568" customFormat="1">
      <c r="A10" s="536" t="s">
        <v>74</v>
      </c>
      <c r="B10" s="537" t="s">
        <v>75</v>
      </c>
      <c r="C10" s="538"/>
      <c r="D10" s="539"/>
      <c r="E10" s="545"/>
      <c r="F10" s="288"/>
      <c r="G10" s="582"/>
      <c r="H10" s="288"/>
      <c r="I10" s="569"/>
      <c r="J10" s="293"/>
      <c r="K10" s="294"/>
      <c r="L10" s="294"/>
      <c r="M10" s="579"/>
    </row>
    <row r="11" spans="1:13" s="568" customFormat="1" ht="115.05" customHeight="1">
      <c r="A11" s="536" t="s">
        <v>76</v>
      </c>
      <c r="B11" s="537" t="s">
        <v>77</v>
      </c>
      <c r="C11" s="538" t="s">
        <v>78</v>
      </c>
      <c r="D11" s="539">
        <v>60</v>
      </c>
      <c r="E11" s="545">
        <v>689.02</v>
      </c>
      <c r="F11" s="290">
        <f>D11*E11</f>
        <v>41341</v>
      </c>
      <c r="G11" s="547">
        <v>530</v>
      </c>
      <c r="H11" s="290">
        <f>G11*D11</f>
        <v>31800</v>
      </c>
      <c r="I11" s="570"/>
      <c r="J11" s="290">
        <f>I11*D11</f>
        <v>0</v>
      </c>
      <c r="K11" s="297" t="s">
        <v>79</v>
      </c>
      <c r="L11" s="296" t="s">
        <v>1511</v>
      </c>
      <c r="M11" s="579"/>
    </row>
    <row r="12" spans="1:13" s="568" customFormat="1">
      <c r="A12" s="536">
        <v>104</v>
      </c>
      <c r="B12" s="537" t="s">
        <v>81</v>
      </c>
      <c r="C12" s="538"/>
      <c r="D12" s="539"/>
      <c r="E12" s="545"/>
      <c r="F12" s="288"/>
      <c r="G12" s="582"/>
      <c r="H12" s="288"/>
      <c r="I12" s="569"/>
      <c r="J12" s="293"/>
      <c r="K12" s="294"/>
      <c r="L12" s="294"/>
      <c r="M12" s="579"/>
    </row>
    <row r="13" spans="1:13" s="568" customFormat="1" ht="24">
      <c r="A13" s="536" t="s">
        <v>82</v>
      </c>
      <c r="B13" s="537" t="s">
        <v>83</v>
      </c>
      <c r="C13" s="538" t="s">
        <v>65</v>
      </c>
      <c r="D13" s="539">
        <v>1</v>
      </c>
      <c r="E13" s="545">
        <v>19660</v>
      </c>
      <c r="F13" s="290">
        <f>D13*E13</f>
        <v>19660</v>
      </c>
      <c r="G13" s="547">
        <v>9830</v>
      </c>
      <c r="H13" s="290">
        <f>G13*D13</f>
        <v>9830</v>
      </c>
      <c r="I13" s="523"/>
      <c r="J13" s="290">
        <f>I13*D13</f>
        <v>0</v>
      </c>
      <c r="K13" s="296" t="s">
        <v>69</v>
      </c>
      <c r="L13" s="296" t="s">
        <v>84</v>
      </c>
      <c r="M13" s="579"/>
    </row>
    <row r="14" spans="1:13" s="568" customFormat="1">
      <c r="A14" s="536">
        <v>109</v>
      </c>
      <c r="B14" s="537" t="s">
        <v>85</v>
      </c>
      <c r="C14" s="538"/>
      <c r="D14" s="539"/>
      <c r="E14" s="545"/>
      <c r="F14" s="288"/>
      <c r="G14" s="582"/>
      <c r="H14" s="288"/>
      <c r="I14" s="569"/>
      <c r="J14" s="293"/>
      <c r="K14" s="296"/>
      <c r="L14" s="294"/>
      <c r="M14" s="579"/>
    </row>
    <row r="15" spans="1:13" s="568" customFormat="1" ht="60">
      <c r="A15" s="536" t="s">
        <v>86</v>
      </c>
      <c r="B15" s="537" t="s">
        <v>85</v>
      </c>
      <c r="C15" s="538" t="s">
        <v>65</v>
      </c>
      <c r="D15" s="539">
        <v>1</v>
      </c>
      <c r="E15" s="545">
        <v>38125.660000000003</v>
      </c>
      <c r="F15" s="290">
        <f>D15*E15</f>
        <v>38126</v>
      </c>
      <c r="G15" s="547">
        <v>19231</v>
      </c>
      <c r="H15" s="290">
        <f>G15*D15</f>
        <v>19231</v>
      </c>
      <c r="I15" s="523"/>
      <c r="J15" s="290">
        <f>I15*D15</f>
        <v>0</v>
      </c>
      <c r="K15" s="296" t="s">
        <v>69</v>
      </c>
      <c r="L15" s="296" t="s">
        <v>1540</v>
      </c>
      <c r="M15" s="579"/>
    </row>
    <row r="16" spans="1:13" s="568" customFormat="1">
      <c r="A16" s="541">
        <v>300</v>
      </c>
      <c r="B16" s="542" t="s">
        <v>87</v>
      </c>
      <c r="C16" s="538"/>
      <c r="D16" s="543"/>
      <c r="E16" s="582"/>
      <c r="F16" s="288"/>
      <c r="G16" s="582"/>
      <c r="H16" s="288"/>
      <c r="I16" s="567"/>
      <c r="J16" s="293"/>
      <c r="K16" s="294"/>
      <c r="L16" s="294"/>
      <c r="M16" s="579"/>
    </row>
    <row r="17" spans="1:13" s="568" customFormat="1">
      <c r="A17" s="536">
        <v>303</v>
      </c>
      <c r="B17" s="537" t="s">
        <v>88</v>
      </c>
      <c r="C17" s="538"/>
      <c r="D17" s="539"/>
      <c r="E17" s="545"/>
      <c r="F17" s="288"/>
      <c r="G17" s="582"/>
      <c r="H17" s="288"/>
      <c r="I17" s="567"/>
      <c r="J17" s="293"/>
      <c r="K17" s="294"/>
      <c r="L17" s="294"/>
      <c r="M17" s="579"/>
    </row>
    <row r="18" spans="1:13" s="568" customFormat="1">
      <c r="A18" s="536" t="s">
        <v>89</v>
      </c>
      <c r="B18" s="537" t="s">
        <v>90</v>
      </c>
      <c r="C18" s="538"/>
      <c r="D18" s="539"/>
      <c r="E18" s="545"/>
      <c r="F18" s="288"/>
      <c r="G18" s="582"/>
      <c r="H18" s="288"/>
      <c r="I18" s="567"/>
      <c r="J18" s="293"/>
      <c r="K18" s="294"/>
      <c r="L18" s="294"/>
      <c r="M18" s="579"/>
    </row>
    <row r="19" spans="1:13" s="568" customFormat="1">
      <c r="A19" s="536" t="s">
        <v>267</v>
      </c>
      <c r="B19" s="537" t="s">
        <v>268</v>
      </c>
      <c r="C19" s="538"/>
      <c r="D19" s="539"/>
      <c r="E19" s="545"/>
      <c r="F19" s="288"/>
      <c r="G19" s="582"/>
      <c r="H19" s="288"/>
      <c r="I19" s="567"/>
      <c r="J19" s="293"/>
      <c r="K19" s="294"/>
      <c r="L19" s="294"/>
      <c r="M19" s="579"/>
    </row>
    <row r="20" spans="1:13" s="568" customFormat="1" ht="96">
      <c r="A20" s="536" t="s">
        <v>269</v>
      </c>
      <c r="B20" s="537" t="s">
        <v>270</v>
      </c>
      <c r="C20" s="538" t="s">
        <v>140</v>
      </c>
      <c r="D20" s="539">
        <v>690</v>
      </c>
      <c r="E20" s="545">
        <v>9.67</v>
      </c>
      <c r="F20" s="290">
        <f>D20*E20</f>
        <v>6672</v>
      </c>
      <c r="G20" s="599">
        <v>6.41</v>
      </c>
      <c r="H20" s="290">
        <f>G20*D20</f>
        <v>4423</v>
      </c>
      <c r="I20" s="573"/>
      <c r="J20" s="290">
        <f>I20*D20</f>
        <v>0</v>
      </c>
      <c r="K20" s="297" t="s">
        <v>271</v>
      </c>
      <c r="L20" s="297" t="s">
        <v>272</v>
      </c>
      <c r="M20" s="579"/>
    </row>
    <row r="21" spans="1:13" s="568" customFormat="1">
      <c r="A21" s="536" t="s">
        <v>91</v>
      </c>
      <c r="B21" s="537" t="s">
        <v>92</v>
      </c>
      <c r="C21" s="538"/>
      <c r="D21" s="539"/>
      <c r="E21" s="545"/>
      <c r="F21" s="290"/>
      <c r="G21" s="581"/>
      <c r="H21" s="304"/>
      <c r="I21" s="572"/>
      <c r="J21" s="305"/>
      <c r="K21" s="296"/>
      <c r="L21" s="296"/>
      <c r="M21" s="534"/>
    </row>
    <row r="22" spans="1:13" s="568" customFormat="1" ht="96">
      <c r="A22" s="536" t="s">
        <v>93</v>
      </c>
      <c r="B22" s="537" t="s">
        <v>94</v>
      </c>
      <c r="C22" s="538" t="s">
        <v>95</v>
      </c>
      <c r="D22" s="539">
        <v>72</v>
      </c>
      <c r="E22" s="545">
        <v>155.5</v>
      </c>
      <c r="F22" s="290">
        <f t="shared" ref="F22:F25" si="1">D22*E22</f>
        <v>11196</v>
      </c>
      <c r="G22" s="581">
        <v>82</v>
      </c>
      <c r="H22" s="290">
        <f t="shared" ref="H22:H25" si="2">G22*D22</f>
        <v>5904</v>
      </c>
      <c r="I22" s="573"/>
      <c r="J22" s="290">
        <f>I22*D22</f>
        <v>0</v>
      </c>
      <c r="K22" s="297" t="s">
        <v>96</v>
      </c>
      <c r="L22" s="297" t="s">
        <v>97</v>
      </c>
      <c r="M22" s="579"/>
    </row>
    <row r="23" spans="1:13" s="568" customFormat="1" ht="132">
      <c r="A23" s="536" t="s">
        <v>98</v>
      </c>
      <c r="B23" s="537" t="s">
        <v>99</v>
      </c>
      <c r="C23" s="538" t="s">
        <v>95</v>
      </c>
      <c r="D23" s="539">
        <v>72</v>
      </c>
      <c r="E23" s="545">
        <v>825.44</v>
      </c>
      <c r="F23" s="290">
        <f t="shared" si="1"/>
        <v>59432</v>
      </c>
      <c r="G23" s="581">
        <v>49.07</v>
      </c>
      <c r="H23" s="290">
        <f t="shared" si="2"/>
        <v>3533</v>
      </c>
      <c r="I23" s="573"/>
      <c r="J23" s="290">
        <f>I23*D23</f>
        <v>0</v>
      </c>
      <c r="K23" s="297" t="s">
        <v>100</v>
      </c>
      <c r="L23" s="297" t="s">
        <v>1521</v>
      </c>
      <c r="M23" s="578"/>
    </row>
    <row r="24" spans="1:13" s="568" customFormat="1" ht="132">
      <c r="A24" s="536" t="s">
        <v>101</v>
      </c>
      <c r="B24" s="537" t="s">
        <v>273</v>
      </c>
      <c r="C24" s="538" t="s">
        <v>95</v>
      </c>
      <c r="D24" s="539">
        <v>13</v>
      </c>
      <c r="E24" s="545">
        <v>602.69000000000005</v>
      </c>
      <c r="F24" s="290">
        <f t="shared" si="1"/>
        <v>7835</v>
      </c>
      <c r="G24" s="581">
        <v>49.07</v>
      </c>
      <c r="H24" s="290">
        <f t="shared" si="2"/>
        <v>638</v>
      </c>
      <c r="I24" s="573"/>
      <c r="J24" s="290">
        <f>I24*D24</f>
        <v>0</v>
      </c>
      <c r="K24" s="297" t="s">
        <v>100</v>
      </c>
      <c r="L24" s="297" t="s">
        <v>1521</v>
      </c>
      <c r="M24" s="578"/>
    </row>
    <row r="25" spans="1:13" s="568" customFormat="1" ht="90" customHeight="1">
      <c r="A25" s="536" t="s">
        <v>274</v>
      </c>
      <c r="B25" s="537" t="s">
        <v>102</v>
      </c>
      <c r="C25" s="538" t="s">
        <v>95</v>
      </c>
      <c r="D25" s="539">
        <v>72</v>
      </c>
      <c r="E25" s="545">
        <v>37.49</v>
      </c>
      <c r="F25" s="290">
        <f t="shared" si="1"/>
        <v>2699</v>
      </c>
      <c r="G25" s="581">
        <v>20</v>
      </c>
      <c r="H25" s="290">
        <f t="shared" si="2"/>
        <v>1440</v>
      </c>
      <c r="I25" s="573"/>
      <c r="J25" s="290">
        <f>I25*D25</f>
        <v>0</v>
      </c>
      <c r="K25" s="297" t="s">
        <v>103</v>
      </c>
      <c r="L25" s="297" t="s">
        <v>104</v>
      </c>
      <c r="M25" s="579"/>
    </row>
    <row r="26" spans="1:13" s="568" customFormat="1">
      <c r="A26" s="536" t="s">
        <v>105</v>
      </c>
      <c r="B26" s="537" t="s">
        <v>106</v>
      </c>
      <c r="C26" s="538"/>
      <c r="D26" s="539"/>
      <c r="E26" s="545"/>
      <c r="F26" s="290"/>
      <c r="G26" s="581"/>
      <c r="H26" s="290"/>
      <c r="I26" s="574"/>
      <c r="J26" s="300"/>
      <c r="K26" s="297"/>
      <c r="L26" s="297"/>
      <c r="M26" s="579"/>
    </row>
    <row r="27" spans="1:13" s="568" customFormat="1">
      <c r="A27" s="536" t="s">
        <v>107</v>
      </c>
      <c r="B27" s="537" t="s">
        <v>108</v>
      </c>
      <c r="C27" s="538"/>
      <c r="D27" s="539"/>
      <c r="E27" s="545"/>
      <c r="F27" s="288"/>
      <c r="G27" s="582"/>
      <c r="H27" s="288"/>
      <c r="I27" s="567"/>
      <c r="J27" s="293"/>
      <c r="K27" s="294"/>
      <c r="L27" s="294"/>
      <c r="M27" s="579"/>
    </row>
    <row r="28" spans="1:13" s="568" customFormat="1">
      <c r="A28" s="536" t="s">
        <v>109</v>
      </c>
      <c r="B28" s="537" t="s">
        <v>110</v>
      </c>
      <c r="C28" s="538"/>
      <c r="D28" s="539"/>
      <c r="E28" s="545"/>
      <c r="F28" s="288"/>
      <c r="G28" s="582"/>
      <c r="H28" s="288"/>
      <c r="I28" s="567"/>
      <c r="J28" s="293"/>
      <c r="K28" s="294"/>
      <c r="L28" s="294"/>
      <c r="M28" s="579"/>
    </row>
    <row r="29" spans="1:13" s="568" customFormat="1" ht="120">
      <c r="A29" s="536" t="s">
        <v>111</v>
      </c>
      <c r="B29" s="537" t="s">
        <v>112</v>
      </c>
      <c r="C29" s="538" t="s">
        <v>113</v>
      </c>
      <c r="D29" s="539">
        <v>2233.3330000000001</v>
      </c>
      <c r="E29" s="545">
        <v>77.17</v>
      </c>
      <c r="F29" s="290">
        <f>D29*E29</f>
        <v>172346</v>
      </c>
      <c r="G29" s="581">
        <v>57.2</v>
      </c>
      <c r="H29" s="290">
        <f>G29*D29</f>
        <v>127747</v>
      </c>
      <c r="I29" s="573"/>
      <c r="J29" s="290">
        <f>I29*D29</f>
        <v>0</v>
      </c>
      <c r="K29" s="297" t="s">
        <v>114</v>
      </c>
      <c r="L29" s="297" t="s">
        <v>115</v>
      </c>
      <c r="M29" s="579"/>
    </row>
    <row r="30" spans="1:13" s="568" customFormat="1">
      <c r="A30" s="536" t="s">
        <v>116</v>
      </c>
      <c r="B30" s="537" t="s">
        <v>117</v>
      </c>
      <c r="C30" s="538"/>
      <c r="D30" s="539"/>
      <c r="E30" s="545"/>
      <c r="F30" s="288"/>
      <c r="G30" s="582"/>
      <c r="H30" s="288"/>
      <c r="I30" s="567"/>
      <c r="J30" s="293"/>
      <c r="K30" s="294"/>
      <c r="L30" s="294"/>
      <c r="M30" s="579"/>
    </row>
    <row r="31" spans="1:13" s="568" customFormat="1" ht="24">
      <c r="A31" s="536" t="s">
        <v>118</v>
      </c>
      <c r="B31" s="537" t="s">
        <v>119</v>
      </c>
      <c r="C31" s="538"/>
      <c r="D31" s="539"/>
      <c r="E31" s="545"/>
      <c r="F31" s="290"/>
      <c r="G31" s="581"/>
      <c r="H31" s="290"/>
      <c r="I31" s="574"/>
      <c r="J31" s="300"/>
      <c r="K31" s="297"/>
      <c r="L31" s="297"/>
      <c r="M31" s="579"/>
    </row>
    <row r="32" spans="1:13" s="568" customFormat="1" ht="120">
      <c r="A32" s="536" t="s">
        <v>120</v>
      </c>
      <c r="B32" s="537" t="s">
        <v>121</v>
      </c>
      <c r="C32" s="538" t="s">
        <v>113</v>
      </c>
      <c r="D32" s="539">
        <v>2225</v>
      </c>
      <c r="E32" s="545">
        <v>63.14</v>
      </c>
      <c r="F32" s="290">
        <f>D32*E32</f>
        <v>140487</v>
      </c>
      <c r="G32" s="581">
        <v>49.52</v>
      </c>
      <c r="H32" s="290">
        <f>G32*D32</f>
        <v>110182</v>
      </c>
      <c r="I32" s="573"/>
      <c r="J32" s="290">
        <f>I32*D32</f>
        <v>0</v>
      </c>
      <c r="K32" s="297" t="s">
        <v>114</v>
      </c>
      <c r="L32" s="297" t="s">
        <v>115</v>
      </c>
      <c r="M32" s="579"/>
    </row>
    <row r="33" spans="1:13" s="568" customFormat="1">
      <c r="A33" s="536" t="s">
        <v>122</v>
      </c>
      <c r="B33" s="537" t="s">
        <v>123</v>
      </c>
      <c r="C33" s="538"/>
      <c r="D33" s="539"/>
      <c r="E33" s="545"/>
      <c r="F33" s="290"/>
      <c r="G33" s="581"/>
      <c r="H33" s="290"/>
      <c r="I33" s="574"/>
      <c r="J33" s="300"/>
      <c r="K33" s="297"/>
      <c r="L33" s="297"/>
      <c r="M33" s="579"/>
    </row>
    <row r="34" spans="1:13" s="568" customFormat="1" ht="120">
      <c r="A34" s="536" t="s">
        <v>124</v>
      </c>
      <c r="B34" s="537" t="s">
        <v>125</v>
      </c>
      <c r="C34" s="538" t="s">
        <v>113</v>
      </c>
      <c r="D34" s="539">
        <v>3350</v>
      </c>
      <c r="E34" s="545">
        <v>1.63</v>
      </c>
      <c r="F34" s="290">
        <f>D34*E34</f>
        <v>5461</v>
      </c>
      <c r="G34" s="581">
        <v>1.1000000000000001</v>
      </c>
      <c r="H34" s="290">
        <f>G34*D34</f>
        <v>3685</v>
      </c>
      <c r="I34" s="573"/>
      <c r="J34" s="290">
        <f>I34*D34</f>
        <v>0</v>
      </c>
      <c r="K34" s="297" t="s">
        <v>126</v>
      </c>
      <c r="L34" s="297" t="s">
        <v>127</v>
      </c>
      <c r="M34" s="579"/>
    </row>
    <row r="35" spans="1:13" s="568" customFormat="1">
      <c r="A35" s="536" t="s">
        <v>128</v>
      </c>
      <c r="B35" s="537" t="s">
        <v>129</v>
      </c>
      <c r="C35" s="538"/>
      <c r="D35" s="539"/>
      <c r="E35" s="545"/>
      <c r="F35" s="288"/>
      <c r="G35" s="582"/>
      <c r="H35" s="288"/>
      <c r="I35" s="567"/>
      <c r="J35" s="293"/>
      <c r="K35" s="294"/>
      <c r="L35" s="294"/>
      <c r="M35" s="579"/>
    </row>
    <row r="36" spans="1:13" s="568" customFormat="1" ht="120">
      <c r="A36" s="536" t="s">
        <v>130</v>
      </c>
      <c r="B36" s="537" t="s">
        <v>131</v>
      </c>
      <c r="C36" s="538" t="s">
        <v>113</v>
      </c>
      <c r="D36" s="539">
        <v>2237</v>
      </c>
      <c r="E36" s="545">
        <v>9.17</v>
      </c>
      <c r="F36" s="290">
        <f>D36*E36</f>
        <v>20513</v>
      </c>
      <c r="G36" s="581">
        <v>5.73</v>
      </c>
      <c r="H36" s="290">
        <f>G36*D36</f>
        <v>12818</v>
      </c>
      <c r="I36" s="573"/>
      <c r="J36" s="290">
        <f>I36*D36</f>
        <v>0</v>
      </c>
      <c r="K36" s="297" t="s">
        <v>132</v>
      </c>
      <c r="L36" s="297" t="s">
        <v>133</v>
      </c>
      <c r="M36" s="579"/>
    </row>
    <row r="37" spans="1:13" s="568" customFormat="1">
      <c r="A37" s="541">
        <v>500</v>
      </c>
      <c r="B37" s="542" t="s">
        <v>24</v>
      </c>
      <c r="C37" s="538"/>
      <c r="D37" s="539"/>
      <c r="E37" s="545"/>
      <c r="F37" s="288"/>
      <c r="G37" s="581"/>
      <c r="H37" s="288"/>
      <c r="I37" s="567"/>
      <c r="J37" s="293"/>
      <c r="K37" s="294"/>
      <c r="L37" s="294"/>
      <c r="M37" s="579"/>
    </row>
    <row r="38" spans="1:13" s="568" customFormat="1">
      <c r="A38" s="536">
        <v>503</v>
      </c>
      <c r="B38" s="537" t="s">
        <v>134</v>
      </c>
      <c r="C38" s="538"/>
      <c r="D38" s="539"/>
      <c r="E38" s="545"/>
      <c r="F38" s="290"/>
      <c r="G38" s="581"/>
      <c r="H38" s="290"/>
      <c r="I38" s="574"/>
      <c r="J38" s="300"/>
      <c r="K38" s="297"/>
      <c r="L38" s="297"/>
      <c r="M38" s="534"/>
    </row>
    <row r="39" spans="1:13" s="568" customFormat="1">
      <c r="A39" s="536" t="s">
        <v>135</v>
      </c>
      <c r="B39" s="537" t="s">
        <v>136</v>
      </c>
      <c r="C39" s="538"/>
      <c r="D39" s="539"/>
      <c r="E39" s="545"/>
      <c r="F39" s="290"/>
      <c r="G39" s="581"/>
      <c r="H39" s="290"/>
      <c r="I39" s="574"/>
      <c r="J39" s="300"/>
      <c r="K39" s="297"/>
      <c r="L39" s="297"/>
      <c r="M39" s="579"/>
    </row>
    <row r="40" spans="1:13" s="568" customFormat="1">
      <c r="A40" s="536" t="s">
        <v>137</v>
      </c>
      <c r="B40" s="537" t="s">
        <v>138</v>
      </c>
      <c r="C40" s="538"/>
      <c r="D40" s="539"/>
      <c r="E40" s="545"/>
      <c r="F40" s="288"/>
      <c r="G40" s="582"/>
      <c r="H40" s="288"/>
      <c r="I40" s="567"/>
      <c r="J40" s="293"/>
      <c r="K40" s="294"/>
      <c r="L40" s="294"/>
      <c r="M40" s="579"/>
    </row>
    <row r="41" spans="1:13" s="568" customFormat="1" ht="96">
      <c r="A41" s="536" t="s">
        <v>139</v>
      </c>
      <c r="B41" s="537" t="s">
        <v>275</v>
      </c>
      <c r="C41" s="538" t="s">
        <v>140</v>
      </c>
      <c r="D41" s="539">
        <v>7517</v>
      </c>
      <c r="E41" s="545">
        <v>132.21</v>
      </c>
      <c r="F41" s="290">
        <f>D41*E41</f>
        <v>993823</v>
      </c>
      <c r="G41" s="581">
        <v>57.2</v>
      </c>
      <c r="H41" s="290">
        <f>G41*D41</f>
        <v>429972</v>
      </c>
      <c r="I41" s="573"/>
      <c r="J41" s="290">
        <f>I41*D41</f>
        <v>0</v>
      </c>
      <c r="K41" s="297" t="s">
        <v>141</v>
      </c>
      <c r="L41" s="297" t="s">
        <v>142</v>
      </c>
      <c r="M41" s="579"/>
    </row>
    <row r="42" spans="1:13" s="568" customFormat="1">
      <c r="A42" s="536" t="s">
        <v>143</v>
      </c>
      <c r="B42" s="537" t="s">
        <v>144</v>
      </c>
      <c r="C42" s="538"/>
      <c r="D42" s="539"/>
      <c r="E42" s="545"/>
      <c r="F42" s="290"/>
      <c r="G42" s="581"/>
      <c r="H42" s="290"/>
      <c r="I42" s="574"/>
      <c r="J42" s="300"/>
      <c r="K42" s="297"/>
      <c r="L42" s="297"/>
      <c r="M42" s="579"/>
    </row>
    <row r="43" spans="1:13" s="568" customFormat="1" ht="120">
      <c r="A43" s="536" t="s">
        <v>145</v>
      </c>
      <c r="B43" s="537" t="s">
        <v>146</v>
      </c>
      <c r="C43" s="538" t="s">
        <v>95</v>
      </c>
      <c r="D43" s="539">
        <v>1730</v>
      </c>
      <c r="E43" s="545">
        <v>663.26</v>
      </c>
      <c r="F43" s="290">
        <f>D43*E43</f>
        <v>1147440</v>
      </c>
      <c r="G43" s="581">
        <v>463.5</v>
      </c>
      <c r="H43" s="290">
        <f>G43*D43</f>
        <v>801855</v>
      </c>
      <c r="I43" s="573"/>
      <c r="J43" s="290">
        <f>I43*D43</f>
        <v>0</v>
      </c>
      <c r="K43" s="297" t="s">
        <v>147</v>
      </c>
      <c r="L43" s="297" t="s">
        <v>148</v>
      </c>
      <c r="M43" s="579"/>
    </row>
    <row r="44" spans="1:13" s="568" customFormat="1">
      <c r="A44" s="536" t="s">
        <v>149</v>
      </c>
      <c r="B44" s="537" t="s">
        <v>150</v>
      </c>
      <c r="C44" s="538"/>
      <c r="D44" s="539"/>
      <c r="E44" s="545"/>
      <c r="F44" s="290"/>
      <c r="G44" s="581"/>
      <c r="H44" s="290"/>
      <c r="I44" s="574"/>
      <c r="J44" s="300"/>
      <c r="K44" s="297"/>
      <c r="L44" s="297"/>
      <c r="M44" s="534"/>
    </row>
    <row r="45" spans="1:13" s="568" customFormat="1">
      <c r="A45" s="536" t="s">
        <v>151</v>
      </c>
      <c r="B45" s="537" t="s">
        <v>152</v>
      </c>
      <c r="C45" s="538"/>
      <c r="D45" s="539"/>
      <c r="E45" s="545"/>
      <c r="F45" s="288"/>
      <c r="G45" s="582"/>
      <c r="H45" s="288"/>
      <c r="I45" s="567"/>
      <c r="J45" s="293"/>
      <c r="K45" s="294"/>
      <c r="L45" s="294"/>
      <c r="M45" s="579"/>
    </row>
    <row r="46" spans="1:13" s="568" customFormat="1" ht="84">
      <c r="A46" s="536" t="s">
        <v>157</v>
      </c>
      <c r="B46" s="537" t="s">
        <v>158</v>
      </c>
      <c r="C46" s="538" t="s">
        <v>95</v>
      </c>
      <c r="D46" s="539">
        <v>282</v>
      </c>
      <c r="E46" s="545">
        <v>161.18</v>
      </c>
      <c r="F46" s="290">
        <f t="shared" ref="F46:F47" si="3">D46*E46</f>
        <v>45453</v>
      </c>
      <c r="G46" s="581">
        <v>73.8</v>
      </c>
      <c r="H46" s="290">
        <f t="shared" ref="H46:H47" si="4">G46*D46</f>
        <v>20812</v>
      </c>
      <c r="I46" s="573"/>
      <c r="J46" s="290">
        <f>I46*D46</f>
        <v>0</v>
      </c>
      <c r="K46" s="297" t="s">
        <v>155</v>
      </c>
      <c r="L46" s="297" t="s">
        <v>156</v>
      </c>
      <c r="M46" s="534"/>
    </row>
    <row r="47" spans="1:13" s="568" customFormat="1" ht="84">
      <c r="A47" s="536" t="s">
        <v>159</v>
      </c>
      <c r="B47" s="537" t="s">
        <v>102</v>
      </c>
      <c r="C47" s="538" t="s">
        <v>95</v>
      </c>
      <c r="D47" s="539">
        <v>282</v>
      </c>
      <c r="E47" s="545">
        <v>37.479999999999997</v>
      </c>
      <c r="F47" s="290">
        <f t="shared" si="3"/>
        <v>10569</v>
      </c>
      <c r="G47" s="581">
        <v>20</v>
      </c>
      <c r="H47" s="290">
        <f t="shared" si="4"/>
        <v>5640</v>
      </c>
      <c r="I47" s="573"/>
      <c r="J47" s="290">
        <f>I47*D47</f>
        <v>0</v>
      </c>
      <c r="K47" s="297" t="s">
        <v>103</v>
      </c>
      <c r="L47" s="297" t="s">
        <v>104</v>
      </c>
      <c r="M47" s="579"/>
    </row>
    <row r="48" spans="1:13" s="568" customFormat="1">
      <c r="A48" s="536" t="s">
        <v>160</v>
      </c>
      <c r="B48" s="537" t="s">
        <v>161</v>
      </c>
      <c r="C48" s="538"/>
      <c r="D48" s="539"/>
      <c r="E48" s="545"/>
      <c r="F48" s="290"/>
      <c r="G48" s="581"/>
      <c r="H48" s="290"/>
      <c r="I48" s="574"/>
      <c r="J48" s="300"/>
      <c r="K48" s="297"/>
      <c r="L48" s="297"/>
      <c r="M48" s="534"/>
    </row>
    <row r="49" spans="1:13" s="568" customFormat="1" ht="108">
      <c r="A49" s="536" t="s">
        <v>166</v>
      </c>
      <c r="B49" s="537" t="s">
        <v>262</v>
      </c>
      <c r="C49" s="538" t="s">
        <v>164</v>
      </c>
      <c r="D49" s="539">
        <v>22343.58</v>
      </c>
      <c r="E49" s="545">
        <v>14.9</v>
      </c>
      <c r="F49" s="290">
        <f t="shared" ref="F49:F50" si="5">D49*E49</f>
        <v>332919</v>
      </c>
      <c r="G49" s="581">
        <v>10.66</v>
      </c>
      <c r="H49" s="290">
        <f t="shared" ref="H49:H50" si="6">G49*D49</f>
        <v>238183</v>
      </c>
      <c r="I49" s="573"/>
      <c r="J49" s="290">
        <f>I49*D49</f>
        <v>0</v>
      </c>
      <c r="K49" s="297" t="s">
        <v>167</v>
      </c>
      <c r="L49" s="297" t="s">
        <v>168</v>
      </c>
      <c r="M49" s="579"/>
    </row>
    <row r="50" spans="1:13" s="568" customFormat="1" ht="120">
      <c r="A50" s="536" t="s">
        <v>263</v>
      </c>
      <c r="B50" s="537" t="s">
        <v>176</v>
      </c>
      <c r="C50" s="538" t="s">
        <v>164</v>
      </c>
      <c r="D50" s="539">
        <v>51646.720000000001</v>
      </c>
      <c r="E50" s="545">
        <v>10.1</v>
      </c>
      <c r="F50" s="290">
        <f t="shared" si="5"/>
        <v>521632</v>
      </c>
      <c r="G50" s="581">
        <v>6.64</v>
      </c>
      <c r="H50" s="290">
        <f t="shared" si="6"/>
        <v>342934</v>
      </c>
      <c r="I50" s="573"/>
      <c r="J50" s="290">
        <f>I50*D50</f>
        <v>0</v>
      </c>
      <c r="K50" s="297" t="s">
        <v>177</v>
      </c>
      <c r="L50" s="297" t="s">
        <v>178</v>
      </c>
      <c r="M50" s="534"/>
    </row>
    <row r="51" spans="1:13" s="568" customFormat="1">
      <c r="A51" s="536" t="s">
        <v>197</v>
      </c>
      <c r="B51" s="537" t="s">
        <v>198</v>
      </c>
      <c r="C51" s="538"/>
      <c r="D51" s="539"/>
      <c r="E51" s="545"/>
      <c r="F51" s="288"/>
      <c r="G51" s="582"/>
      <c r="H51" s="288"/>
      <c r="I51" s="567"/>
      <c r="J51" s="293"/>
      <c r="K51" s="294"/>
      <c r="L51" s="294"/>
      <c r="M51" s="579"/>
    </row>
    <row r="52" spans="1:13" s="568" customFormat="1" ht="120">
      <c r="A52" s="536" t="s">
        <v>199</v>
      </c>
      <c r="B52" s="537" t="s">
        <v>200</v>
      </c>
      <c r="C52" s="538" t="s">
        <v>95</v>
      </c>
      <c r="D52" s="539">
        <v>1092</v>
      </c>
      <c r="E52" s="545">
        <v>698.19</v>
      </c>
      <c r="F52" s="290">
        <f>D52*E52</f>
        <v>762423</v>
      </c>
      <c r="G52" s="581">
        <v>51.03</v>
      </c>
      <c r="H52" s="290">
        <f>G52*D52</f>
        <v>55725</v>
      </c>
      <c r="I52" s="573"/>
      <c r="J52" s="290">
        <f>I52*D52</f>
        <v>0</v>
      </c>
      <c r="K52" s="297" t="s">
        <v>191</v>
      </c>
      <c r="L52" s="297" t="s">
        <v>1516</v>
      </c>
      <c r="M52" s="578"/>
    </row>
    <row r="53" spans="1:13" s="568" customFormat="1">
      <c r="A53" s="536" t="s">
        <v>202</v>
      </c>
      <c r="B53" s="537" t="s">
        <v>203</v>
      </c>
      <c r="C53" s="538"/>
      <c r="D53" s="539"/>
      <c r="E53" s="545"/>
      <c r="F53" s="290"/>
      <c r="G53" s="581"/>
      <c r="H53" s="290"/>
      <c r="I53" s="574"/>
      <c r="J53" s="300"/>
      <c r="K53" s="297"/>
      <c r="L53" s="297"/>
      <c r="M53" s="579"/>
    </row>
    <row r="54" spans="1:13" s="568" customFormat="1">
      <c r="A54" s="536" t="s">
        <v>214</v>
      </c>
      <c r="B54" s="537" t="s">
        <v>215</v>
      </c>
      <c r="C54" s="538"/>
      <c r="D54" s="539"/>
      <c r="E54" s="545"/>
      <c r="F54" s="290"/>
      <c r="G54" s="581"/>
      <c r="H54" s="290"/>
      <c r="I54" s="574"/>
      <c r="J54" s="300"/>
      <c r="K54" s="297"/>
      <c r="L54" s="297"/>
      <c r="M54" s="579"/>
    </row>
    <row r="55" spans="1:13" s="568" customFormat="1" ht="96">
      <c r="A55" s="536" t="s">
        <v>216</v>
      </c>
      <c r="B55" s="537" t="s">
        <v>217</v>
      </c>
      <c r="C55" s="538" t="s">
        <v>95</v>
      </c>
      <c r="D55" s="539">
        <v>41.104999999999997</v>
      </c>
      <c r="E55" s="545">
        <v>1197.49</v>
      </c>
      <c r="F55" s="290">
        <f t="shared" ref="F55:F59" si="7">D55*E55</f>
        <v>49223</v>
      </c>
      <c r="G55" s="581">
        <v>280</v>
      </c>
      <c r="H55" s="290">
        <f t="shared" ref="H55:H59" si="8">G55*D55</f>
        <v>11509</v>
      </c>
      <c r="I55" s="573"/>
      <c r="J55" s="290">
        <f>I55*D55</f>
        <v>0</v>
      </c>
      <c r="K55" s="297" t="s">
        <v>201</v>
      </c>
      <c r="L55" s="297" t="s">
        <v>1518</v>
      </c>
      <c r="M55" s="578"/>
    </row>
    <row r="56" spans="1:13" s="568" customFormat="1" ht="156">
      <c r="A56" s="536" t="s">
        <v>218</v>
      </c>
      <c r="B56" s="537" t="s">
        <v>219</v>
      </c>
      <c r="C56" s="538" t="s">
        <v>95</v>
      </c>
      <c r="D56" s="539">
        <v>42.9</v>
      </c>
      <c r="E56" s="545">
        <v>870.05</v>
      </c>
      <c r="F56" s="290">
        <f t="shared" si="7"/>
        <v>37325</v>
      </c>
      <c r="G56" s="581">
        <v>212.47</v>
      </c>
      <c r="H56" s="290">
        <f t="shared" si="8"/>
        <v>9115</v>
      </c>
      <c r="I56" s="573"/>
      <c r="J56" s="290">
        <f>I56*D56</f>
        <v>0</v>
      </c>
      <c r="K56" s="297" t="s">
        <v>201</v>
      </c>
      <c r="L56" s="297" t="s">
        <v>1519</v>
      </c>
      <c r="M56" s="578"/>
    </row>
    <row r="57" spans="1:13" s="568" customFormat="1" ht="120">
      <c r="A57" s="536" t="s">
        <v>220</v>
      </c>
      <c r="B57" s="537" t="s">
        <v>221</v>
      </c>
      <c r="C57" s="538" t="s">
        <v>164</v>
      </c>
      <c r="D57" s="539">
        <v>16399</v>
      </c>
      <c r="E57" s="545">
        <v>5.93</v>
      </c>
      <c r="F57" s="290">
        <f t="shared" si="7"/>
        <v>97246</v>
      </c>
      <c r="G57" s="581">
        <v>0.72</v>
      </c>
      <c r="H57" s="290">
        <f t="shared" si="8"/>
        <v>11807</v>
      </c>
      <c r="I57" s="573"/>
      <c r="J57" s="290">
        <f>I57*D57</f>
        <v>0</v>
      </c>
      <c r="K57" s="297" t="s">
        <v>165</v>
      </c>
      <c r="L57" s="297" t="s">
        <v>1512</v>
      </c>
      <c r="M57" s="578"/>
    </row>
    <row r="58" spans="1:13" s="568" customFormat="1" ht="108">
      <c r="A58" s="536" t="s">
        <v>222</v>
      </c>
      <c r="B58" s="537" t="s">
        <v>223</v>
      </c>
      <c r="C58" s="538" t="s">
        <v>164</v>
      </c>
      <c r="D58" s="539">
        <v>497</v>
      </c>
      <c r="E58" s="545">
        <v>11.08</v>
      </c>
      <c r="F58" s="290">
        <f t="shared" si="7"/>
        <v>5507</v>
      </c>
      <c r="G58" s="581">
        <v>9.09</v>
      </c>
      <c r="H58" s="290">
        <f t="shared" si="8"/>
        <v>4518</v>
      </c>
      <c r="I58" s="573"/>
      <c r="J58" s="290">
        <f>I58*D58</f>
        <v>0</v>
      </c>
      <c r="K58" s="297" t="s">
        <v>181</v>
      </c>
      <c r="L58" s="297" t="s">
        <v>224</v>
      </c>
      <c r="M58" s="534"/>
    </row>
    <row r="59" spans="1:13" s="568" customFormat="1" ht="84">
      <c r="A59" s="536" t="s">
        <v>225</v>
      </c>
      <c r="B59" s="537" t="s">
        <v>226</v>
      </c>
      <c r="C59" s="538" t="s">
        <v>164</v>
      </c>
      <c r="D59" s="539">
        <v>1554</v>
      </c>
      <c r="E59" s="545">
        <v>13.49</v>
      </c>
      <c r="F59" s="290">
        <f t="shared" si="7"/>
        <v>20963</v>
      </c>
      <c r="G59" s="581">
        <v>11</v>
      </c>
      <c r="H59" s="290">
        <f t="shared" si="8"/>
        <v>17094</v>
      </c>
      <c r="I59" s="573"/>
      <c r="J59" s="290">
        <f>I59*D59</f>
        <v>0</v>
      </c>
      <c r="K59" s="297" t="s">
        <v>227</v>
      </c>
      <c r="L59" s="297" t="s">
        <v>228</v>
      </c>
      <c r="M59" s="579"/>
    </row>
    <row r="60" spans="1:13" s="568" customFormat="1">
      <c r="A60" s="536" t="s">
        <v>229</v>
      </c>
      <c r="B60" s="537" t="s">
        <v>230</v>
      </c>
      <c r="C60" s="538"/>
      <c r="D60" s="539"/>
      <c r="E60" s="545"/>
      <c r="F60" s="290"/>
      <c r="G60" s="581"/>
      <c r="H60" s="290"/>
      <c r="I60" s="574"/>
      <c r="J60" s="300"/>
      <c r="K60" s="297"/>
      <c r="L60" s="297"/>
      <c r="M60" s="579"/>
    </row>
    <row r="61" spans="1:13" s="568" customFormat="1">
      <c r="A61" s="536" t="s">
        <v>231</v>
      </c>
      <c r="B61" s="537" t="s">
        <v>232</v>
      </c>
      <c r="C61" s="538"/>
      <c r="D61" s="539"/>
      <c r="E61" s="545"/>
      <c r="F61" s="288"/>
      <c r="G61" s="582"/>
      <c r="H61" s="288"/>
      <c r="I61" s="567"/>
      <c r="J61" s="293"/>
      <c r="K61" s="294"/>
      <c r="L61" s="294"/>
      <c r="M61" s="579"/>
    </row>
    <row r="62" spans="1:13" s="568" customFormat="1">
      <c r="A62" s="536" t="s">
        <v>233</v>
      </c>
      <c r="B62" s="537" t="s">
        <v>234</v>
      </c>
      <c r="C62" s="538"/>
      <c r="D62" s="539"/>
      <c r="E62" s="545"/>
      <c r="F62" s="288"/>
      <c r="G62" s="582"/>
      <c r="H62" s="288"/>
      <c r="I62" s="567"/>
      <c r="J62" s="293"/>
      <c r="K62" s="294"/>
      <c r="L62" s="294"/>
      <c r="M62" s="579"/>
    </row>
    <row r="63" spans="1:13" s="568" customFormat="1" ht="168">
      <c r="A63" s="536" t="s">
        <v>235</v>
      </c>
      <c r="B63" s="537" t="s">
        <v>236</v>
      </c>
      <c r="C63" s="538" t="s">
        <v>113</v>
      </c>
      <c r="D63" s="539">
        <v>2266.6669999999999</v>
      </c>
      <c r="E63" s="545">
        <v>197.88</v>
      </c>
      <c r="F63" s="290">
        <f t="shared" ref="F63:F68" si="9">D63*E63</f>
        <v>448528</v>
      </c>
      <c r="G63" s="581">
        <v>17.86</v>
      </c>
      <c r="H63" s="290">
        <f t="shared" ref="H63:H68" si="10">G63*D63</f>
        <v>40483</v>
      </c>
      <c r="I63" s="573"/>
      <c r="J63" s="290">
        <f t="shared" ref="J63:J68" si="11">I63*D63</f>
        <v>0</v>
      </c>
      <c r="K63" s="297" t="s">
        <v>237</v>
      </c>
      <c r="L63" s="297" t="s">
        <v>1520</v>
      </c>
      <c r="M63" s="578"/>
    </row>
    <row r="64" spans="1:13" s="568" customFormat="1" ht="168">
      <c r="A64" s="536" t="s">
        <v>238</v>
      </c>
      <c r="B64" s="537" t="s">
        <v>239</v>
      </c>
      <c r="C64" s="538" t="s">
        <v>113</v>
      </c>
      <c r="D64" s="539">
        <v>40</v>
      </c>
      <c r="E64" s="545">
        <v>160.61000000000001</v>
      </c>
      <c r="F64" s="290">
        <f t="shared" si="9"/>
        <v>6424</v>
      </c>
      <c r="G64" s="581">
        <v>17.86</v>
      </c>
      <c r="H64" s="290">
        <f t="shared" si="10"/>
        <v>714</v>
      </c>
      <c r="I64" s="573"/>
      <c r="J64" s="290">
        <f t="shared" si="11"/>
        <v>0</v>
      </c>
      <c r="K64" s="297" t="s">
        <v>237</v>
      </c>
      <c r="L64" s="297" t="s">
        <v>1520</v>
      </c>
      <c r="M64" s="578"/>
    </row>
    <row r="65" spans="1:13" s="568" customFormat="1" ht="132">
      <c r="A65" s="536" t="s">
        <v>240</v>
      </c>
      <c r="B65" s="537" t="s">
        <v>241</v>
      </c>
      <c r="C65" s="538" t="s">
        <v>164</v>
      </c>
      <c r="D65" s="539">
        <v>45468</v>
      </c>
      <c r="E65" s="545">
        <v>5.21</v>
      </c>
      <c r="F65" s="290">
        <f t="shared" si="9"/>
        <v>236888</v>
      </c>
      <c r="G65" s="581">
        <v>0.6</v>
      </c>
      <c r="H65" s="290">
        <f t="shared" si="10"/>
        <v>27281</v>
      </c>
      <c r="I65" s="573"/>
      <c r="J65" s="290">
        <f t="shared" si="11"/>
        <v>0</v>
      </c>
      <c r="K65" s="297" t="s">
        <v>242</v>
      </c>
      <c r="L65" s="297" t="s">
        <v>1514</v>
      </c>
      <c r="M65" s="578"/>
    </row>
    <row r="66" spans="1:13" s="568" customFormat="1" ht="84">
      <c r="A66" s="536" t="s">
        <v>243</v>
      </c>
      <c r="B66" s="537" t="s">
        <v>244</v>
      </c>
      <c r="C66" s="538" t="s">
        <v>95</v>
      </c>
      <c r="D66" s="539">
        <v>745</v>
      </c>
      <c r="E66" s="545">
        <v>150.54</v>
      </c>
      <c r="F66" s="290">
        <f t="shared" si="9"/>
        <v>112152</v>
      </c>
      <c r="G66" s="581">
        <v>82</v>
      </c>
      <c r="H66" s="290">
        <f t="shared" si="10"/>
        <v>61090</v>
      </c>
      <c r="I66" s="573"/>
      <c r="J66" s="290">
        <f t="shared" si="11"/>
        <v>0</v>
      </c>
      <c r="K66" s="297" t="s">
        <v>245</v>
      </c>
      <c r="L66" s="297" t="s">
        <v>246</v>
      </c>
      <c r="M66" s="534"/>
    </row>
    <row r="67" spans="1:13" s="568" customFormat="1" ht="84">
      <c r="A67" s="536" t="s">
        <v>247</v>
      </c>
      <c r="B67" s="537" t="s">
        <v>248</v>
      </c>
      <c r="C67" s="538" t="s">
        <v>95</v>
      </c>
      <c r="D67" s="539">
        <v>1837</v>
      </c>
      <c r="E67" s="545">
        <v>56.14</v>
      </c>
      <c r="F67" s="290">
        <f t="shared" si="9"/>
        <v>103129</v>
      </c>
      <c r="G67" s="581">
        <v>20</v>
      </c>
      <c r="H67" s="290">
        <f t="shared" si="10"/>
        <v>36740</v>
      </c>
      <c r="I67" s="573"/>
      <c r="J67" s="290">
        <f t="shared" si="11"/>
        <v>0</v>
      </c>
      <c r="K67" s="297" t="s">
        <v>103</v>
      </c>
      <c r="L67" s="297" t="s">
        <v>104</v>
      </c>
      <c r="M67" s="579"/>
    </row>
    <row r="68" spans="1:13" s="568" customFormat="1" ht="84">
      <c r="A68" s="536" t="s">
        <v>249</v>
      </c>
      <c r="B68" s="537" t="s">
        <v>250</v>
      </c>
      <c r="C68" s="538" t="s">
        <v>95</v>
      </c>
      <c r="D68" s="539">
        <v>1092</v>
      </c>
      <c r="E68" s="545">
        <v>14.85</v>
      </c>
      <c r="F68" s="290">
        <f t="shared" si="9"/>
        <v>16216</v>
      </c>
      <c r="G68" s="581">
        <v>13</v>
      </c>
      <c r="H68" s="290">
        <f t="shared" si="10"/>
        <v>14196</v>
      </c>
      <c r="I68" s="573"/>
      <c r="J68" s="290">
        <f t="shared" si="11"/>
        <v>0</v>
      </c>
      <c r="K68" s="297" t="s">
        <v>251</v>
      </c>
      <c r="L68" s="297" t="s">
        <v>246</v>
      </c>
      <c r="M68" s="579"/>
    </row>
    <row r="69" spans="1:13" s="568" customFormat="1">
      <c r="A69" s="541">
        <v>600</v>
      </c>
      <c r="B69" s="542" t="s">
        <v>252</v>
      </c>
      <c r="C69" s="538"/>
      <c r="D69" s="543"/>
      <c r="E69" s="582"/>
      <c r="F69" s="288"/>
      <c r="G69" s="582"/>
      <c r="H69" s="288"/>
      <c r="I69" s="567"/>
      <c r="J69" s="293"/>
      <c r="K69" s="294"/>
      <c r="L69" s="294"/>
      <c r="M69" s="579"/>
    </row>
    <row r="70" spans="1:13" s="568" customFormat="1">
      <c r="A70" s="536">
        <v>605</v>
      </c>
      <c r="B70" s="537" t="s">
        <v>253</v>
      </c>
      <c r="C70" s="538"/>
      <c r="D70" s="545"/>
      <c r="E70" s="545"/>
      <c r="F70" s="288"/>
      <c r="G70" s="582"/>
      <c r="H70" s="288"/>
      <c r="I70" s="567"/>
      <c r="J70" s="293"/>
      <c r="K70" s="294"/>
      <c r="L70" s="294"/>
      <c r="M70" s="579"/>
    </row>
    <row r="71" spans="1:13" s="568" customFormat="1">
      <c r="A71" s="536" t="s">
        <v>254</v>
      </c>
      <c r="B71" s="537" t="s">
        <v>255</v>
      </c>
      <c r="C71" s="538"/>
      <c r="D71" s="545"/>
      <c r="E71" s="545"/>
      <c r="F71" s="288"/>
      <c r="G71" s="582"/>
      <c r="H71" s="288"/>
      <c r="I71" s="567"/>
      <c r="J71" s="293"/>
      <c r="K71" s="294"/>
      <c r="L71" s="294"/>
      <c r="M71" s="579"/>
    </row>
    <row r="72" spans="1:13" s="568" customFormat="1" ht="84">
      <c r="A72" s="536" t="s">
        <v>256</v>
      </c>
      <c r="B72" s="537" t="s">
        <v>257</v>
      </c>
      <c r="C72" s="538" t="s">
        <v>113</v>
      </c>
      <c r="D72" s="539">
        <v>115.65</v>
      </c>
      <c r="E72" s="545">
        <v>43.72</v>
      </c>
      <c r="F72" s="290">
        <f>D72*E72</f>
        <v>5056</v>
      </c>
      <c r="G72" s="581">
        <v>32.68</v>
      </c>
      <c r="H72" s="290">
        <f t="shared" ref="H72" si="12">G72*D72</f>
        <v>3779</v>
      </c>
      <c r="I72" s="573"/>
      <c r="J72" s="290">
        <f>I72*D72</f>
        <v>0</v>
      </c>
      <c r="K72" s="297" t="s">
        <v>258</v>
      </c>
      <c r="L72" s="297" t="s">
        <v>259</v>
      </c>
      <c r="M72" s="579"/>
    </row>
    <row r="73" spans="1:13" s="576" customFormat="1" ht="19.2">
      <c r="A73" s="583" t="s">
        <v>260</v>
      </c>
      <c r="B73" s="584"/>
      <c r="C73" s="530"/>
      <c r="D73" s="531"/>
      <c r="E73" s="598"/>
      <c r="F73" s="348">
        <f t="shared" ref="F73:J73" si="13">SUM(F6:F72)</f>
        <v>5609407</v>
      </c>
      <c r="G73" s="585"/>
      <c r="H73" s="348">
        <f t="shared" si="13"/>
        <v>2511407</v>
      </c>
      <c r="I73" s="575"/>
      <c r="J73" s="348">
        <f t="shared" si="13"/>
        <v>46729</v>
      </c>
      <c r="K73" s="347"/>
      <c r="L73" s="347"/>
      <c r="M73" s="580"/>
    </row>
  </sheetData>
  <sheetProtection algorithmName="SHA-512" hashValue="AQhdLe1E8IUa+rE/pI/n0393CmVDfEpdsde+d8Hs5PF0dEvRqQDnl36+lsiY1itzTWbOK2NOeD2Jkdn1DlBY5w==" saltValue="uaRDBPwlrT+JQ4G4Tp4Z8A==" spinCount="100000" sheet="1" objects="1" scenarios="1"/>
  <mergeCells count="16">
    <mergeCell ref="A1:M1"/>
    <mergeCell ref="A2:I2"/>
    <mergeCell ref="A73:B73"/>
    <mergeCell ref="A4:A5"/>
    <mergeCell ref="B4:B5"/>
    <mergeCell ref="C4:C5"/>
    <mergeCell ref="D4:D5"/>
    <mergeCell ref="E4:E5"/>
    <mergeCell ref="F4:F5"/>
    <mergeCell ref="G4:G5"/>
    <mergeCell ref="H4:H5"/>
    <mergeCell ref="I4:I5"/>
    <mergeCell ref="J4:J5"/>
    <mergeCell ref="K4:K5"/>
    <mergeCell ref="L4:L5"/>
    <mergeCell ref="M4:M5"/>
  </mergeCells>
  <phoneticPr fontId="98" type="noConversion"/>
  <conditionalFormatting sqref="M3 C6:C69 N2:IG73 A7:B15">
    <cfRule type="cellIs" dxfId="146" priority="8" operator="equal">
      <formula>0</formula>
    </cfRule>
  </conditionalFormatting>
  <conditionalFormatting sqref="M21">
    <cfRule type="cellIs" dxfId="145" priority="20" operator="equal">
      <formula>0</formula>
    </cfRule>
  </conditionalFormatting>
  <conditionalFormatting sqref="M38">
    <cfRule type="cellIs" dxfId="144" priority="19" operator="equal">
      <formula>0</formula>
    </cfRule>
  </conditionalFormatting>
  <conditionalFormatting sqref="M44">
    <cfRule type="cellIs" dxfId="143" priority="18" operator="equal">
      <formula>0</formula>
    </cfRule>
  </conditionalFormatting>
  <conditionalFormatting sqref="M46">
    <cfRule type="cellIs" dxfId="142" priority="17" operator="equal">
      <formula>0</formula>
    </cfRule>
  </conditionalFormatting>
  <conditionalFormatting sqref="M48">
    <cfRule type="cellIs" dxfId="141" priority="16" operator="equal">
      <formula>0</formula>
    </cfRule>
  </conditionalFormatting>
  <conditionalFormatting sqref="M50">
    <cfRule type="cellIs" dxfId="140" priority="15" operator="equal">
      <formula>0</formula>
    </cfRule>
  </conditionalFormatting>
  <conditionalFormatting sqref="M58">
    <cfRule type="cellIs" dxfId="139" priority="12" operator="equal">
      <formula>0</formula>
    </cfRule>
  </conditionalFormatting>
  <conditionalFormatting sqref="M66">
    <cfRule type="cellIs" dxfId="138" priority="11" operator="equal">
      <formula>0</formula>
    </cfRule>
  </conditionalFormatting>
  <conditionalFormatting sqref="C70:C72">
    <cfRule type="cellIs" dxfId="137" priority="9" operator="equal">
      <formula>0</formula>
    </cfRule>
  </conditionalFormatting>
  <conditionalFormatting sqref="A3:L3 A4:D4 A5:C5 J2:L2 A2 C73">
    <cfRule type="cellIs" dxfId="136" priority="23" operator="equal">
      <formula>0</formula>
    </cfRule>
  </conditionalFormatting>
  <conditionalFormatting sqref="M2 M4">
    <cfRule type="cellIs" dxfId="135" priority="22" operator="equal">
      <formula>0</formula>
    </cfRule>
  </conditionalFormatting>
  <conditionalFormatting sqref="N1:IF1">
    <cfRule type="cellIs" dxfId="134" priority="1" operator="equal">
      <formula>0</formula>
    </cfRule>
  </conditionalFormatting>
  <conditionalFormatting sqref="A1">
    <cfRule type="cellIs" dxfId="133" priority="2" operator="equal">
      <formula>0</formula>
    </cfRule>
  </conditionalFormatting>
  <printOptions horizontalCentered="1"/>
  <pageMargins left="0.31496062992126" right="0.31496062992126" top="0.74803149606299202" bottom="0.74803149606299202" header="0.31496062992126" footer="0.31496062992126"/>
  <pageSetup paperSize="9" scale="64" fitToHeight="0"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82"/>
  <sheetViews>
    <sheetView topLeftCell="A32" zoomScale="70" zoomScaleNormal="70" workbookViewId="0">
      <selection activeCell="Q40" activeCellId="26" sqref="J74:M82 A74:H82 J68:M73 A68:H73 J63:M67 A63:H67 J57:M62 A57:H62 J53:M56 A53:H56 J49:M52 A49:H52 J42:M48 A42:H48 J41:M41 K40:M40 J33:M39 A33:H41 J26:M32 A26:H32 J21:M25 A21:H25 J10:M20 A10:H20 A1:M9 J40 Q40"/>
    </sheetView>
  </sheetViews>
  <sheetFormatPr defaultColWidth="9.109375" defaultRowHeight="12"/>
  <cols>
    <col min="1" max="1" width="20.88671875" style="498" customWidth="1"/>
    <col min="2" max="2" width="25.6640625" style="498" customWidth="1"/>
    <col min="3" max="3" width="6.33203125" style="566" customWidth="1"/>
    <col min="4" max="4" width="10.77734375" style="577" customWidth="1"/>
    <col min="5" max="5" width="9.6640625" style="498" hidden="1" customWidth="1"/>
    <col min="6" max="6" width="14.5546875" style="498" hidden="1" customWidth="1"/>
    <col min="7" max="7" width="9.44140625" style="498" customWidth="1"/>
    <col min="8" max="8" width="15.77734375" style="498" customWidth="1"/>
    <col min="9" max="9" width="12.44140625" style="498" customWidth="1"/>
    <col min="10" max="10" width="15.77734375" style="498" customWidth="1"/>
    <col min="11" max="11" width="23.21875" style="602" customWidth="1"/>
    <col min="12" max="12" width="63.5546875" style="602" customWidth="1"/>
    <col min="13" max="13" width="19.77734375" style="566" customWidth="1"/>
    <col min="14" max="14" width="23.33203125" style="566" customWidth="1"/>
    <col min="15" max="15" width="9.109375" style="498"/>
    <col min="16" max="17" width="11.33203125" style="498" customWidth="1"/>
    <col min="18" max="18" width="25" style="498" customWidth="1"/>
    <col min="19" max="16384" width="9.109375" style="498"/>
  </cols>
  <sheetData>
    <row r="1" spans="1:14" s="495" customFormat="1" ht="55.8" customHeight="1">
      <c r="A1" s="499" t="s">
        <v>1527</v>
      </c>
      <c r="B1" s="499"/>
      <c r="C1" s="499"/>
      <c r="D1" s="499"/>
      <c r="E1" s="499"/>
      <c r="F1" s="499"/>
      <c r="G1" s="499"/>
      <c r="H1" s="499"/>
      <c r="I1" s="549"/>
      <c r="J1" s="499"/>
      <c r="K1" s="499"/>
      <c r="L1" s="499"/>
      <c r="M1" s="499"/>
    </row>
    <row r="2" spans="1:14" ht="18.75" customHeight="1">
      <c r="A2" s="604" t="s">
        <v>276</v>
      </c>
      <c r="B2" s="604"/>
      <c r="C2" s="604"/>
      <c r="D2" s="604"/>
      <c r="E2" s="604"/>
      <c r="F2" s="604"/>
      <c r="G2" s="604"/>
      <c r="H2" s="604"/>
      <c r="I2" s="605"/>
      <c r="J2" s="588"/>
      <c r="K2" s="606"/>
      <c r="L2" s="606"/>
      <c r="M2" s="590"/>
    </row>
    <row r="3" spans="1:14" ht="18.75" customHeight="1">
      <c r="A3" s="591" t="s">
        <v>55</v>
      </c>
      <c r="B3" s="591"/>
      <c r="C3" s="592"/>
      <c r="D3" s="593"/>
      <c r="E3" s="591"/>
      <c r="F3" s="594"/>
      <c r="G3" s="594"/>
      <c r="H3" s="594"/>
      <c r="I3" s="595"/>
      <c r="J3" s="594"/>
      <c r="K3" s="591"/>
      <c r="L3" s="591"/>
      <c r="M3" s="503" t="s">
        <v>39</v>
      </c>
      <c r="N3" s="287"/>
    </row>
    <row r="4" spans="1:14" ht="20.100000000000001" customHeight="1">
      <c r="A4" s="378" t="s">
        <v>56</v>
      </c>
      <c r="B4" s="380" t="s">
        <v>57</v>
      </c>
      <c r="C4" s="380" t="s">
        <v>58</v>
      </c>
      <c r="D4" s="557" t="s">
        <v>59</v>
      </c>
      <c r="E4" s="558" t="s">
        <v>60</v>
      </c>
      <c r="F4" s="380" t="s">
        <v>61</v>
      </c>
      <c r="G4" s="558" t="s">
        <v>1528</v>
      </c>
      <c r="H4" s="371" t="s">
        <v>1529</v>
      </c>
      <c r="I4" s="375" t="s">
        <v>1530</v>
      </c>
      <c r="J4" s="377" t="s">
        <v>1531</v>
      </c>
      <c r="K4" s="377" t="s">
        <v>62</v>
      </c>
      <c r="L4" s="377" t="s">
        <v>63</v>
      </c>
      <c r="M4" s="600" t="s">
        <v>12</v>
      </c>
      <c r="N4" s="292"/>
    </row>
    <row r="5" spans="1:14" ht="20.100000000000001" customHeight="1">
      <c r="A5" s="379"/>
      <c r="B5" s="381"/>
      <c r="C5" s="381"/>
      <c r="D5" s="560"/>
      <c r="E5" s="561"/>
      <c r="F5" s="381"/>
      <c r="G5" s="561"/>
      <c r="H5" s="372"/>
      <c r="I5" s="376"/>
      <c r="J5" s="376"/>
      <c r="K5" s="376"/>
      <c r="L5" s="376"/>
      <c r="M5" s="601"/>
      <c r="N5" s="292"/>
    </row>
    <row r="6" spans="1:14" s="568" customFormat="1">
      <c r="A6" s="541">
        <v>100</v>
      </c>
      <c r="B6" s="542" t="s">
        <v>64</v>
      </c>
      <c r="C6" s="288"/>
      <c r="D6" s="543"/>
      <c r="E6" s="582"/>
      <c r="F6" s="288"/>
      <c r="G6" s="582"/>
      <c r="H6" s="288"/>
      <c r="I6" s="293"/>
      <c r="J6" s="293"/>
      <c r="K6" s="294"/>
      <c r="L6" s="294"/>
      <c r="M6" s="579"/>
      <c r="N6" s="292"/>
    </row>
    <row r="7" spans="1:14" s="568" customFormat="1">
      <c r="A7" s="536">
        <v>102</v>
      </c>
      <c r="B7" s="537" t="s">
        <v>66</v>
      </c>
      <c r="C7" s="538"/>
      <c r="D7" s="539"/>
      <c r="E7" s="545"/>
      <c r="F7" s="288"/>
      <c r="G7" s="582"/>
      <c r="H7" s="288"/>
      <c r="I7" s="293"/>
      <c r="J7" s="293"/>
      <c r="K7" s="294"/>
      <c r="L7" s="294"/>
      <c r="M7" s="579"/>
      <c r="N7" s="292"/>
    </row>
    <row r="8" spans="1:14" s="568" customFormat="1" ht="64.95" customHeight="1">
      <c r="A8" s="536" t="s">
        <v>67</v>
      </c>
      <c r="B8" s="537" t="s">
        <v>68</v>
      </c>
      <c r="C8" s="538" t="s">
        <v>65</v>
      </c>
      <c r="D8" s="539">
        <v>1</v>
      </c>
      <c r="E8" s="545">
        <v>27944.720000000001</v>
      </c>
      <c r="F8" s="290">
        <f>D8*E8</f>
        <v>27945</v>
      </c>
      <c r="G8" s="596">
        <v>13694</v>
      </c>
      <c r="H8" s="290">
        <f t="shared" ref="H8:H9" si="0">G8*D8</f>
        <v>13694</v>
      </c>
      <c r="I8" s="596">
        <v>13694</v>
      </c>
      <c r="J8" s="300">
        <f>D8*I8</f>
        <v>13694</v>
      </c>
      <c r="K8" s="296" t="s">
        <v>69</v>
      </c>
      <c r="L8" s="297" t="s">
        <v>70</v>
      </c>
      <c r="M8" s="578"/>
      <c r="N8" s="292"/>
    </row>
    <row r="9" spans="1:14" s="568" customFormat="1" ht="132">
      <c r="A9" s="536" t="s">
        <v>71</v>
      </c>
      <c r="B9" s="537" t="s">
        <v>72</v>
      </c>
      <c r="C9" s="538" t="s">
        <v>65</v>
      </c>
      <c r="D9" s="539">
        <v>1</v>
      </c>
      <c r="E9" s="545">
        <v>164460</v>
      </c>
      <c r="F9" s="290">
        <f>D9*E9</f>
        <v>164460</v>
      </c>
      <c r="G9" s="596">
        <v>52518</v>
      </c>
      <c r="H9" s="290">
        <f t="shared" si="0"/>
        <v>52518</v>
      </c>
      <c r="I9" s="596">
        <v>52518</v>
      </c>
      <c r="J9" s="300">
        <f>D9*I9</f>
        <v>52518</v>
      </c>
      <c r="K9" s="296" t="s">
        <v>1536</v>
      </c>
      <c r="L9" s="297" t="s">
        <v>73</v>
      </c>
      <c r="M9" s="578"/>
      <c r="N9" s="292"/>
    </row>
    <row r="10" spans="1:14" s="568" customFormat="1">
      <c r="A10" s="536" t="s">
        <v>74</v>
      </c>
      <c r="B10" s="537" t="s">
        <v>75</v>
      </c>
      <c r="C10" s="538"/>
      <c r="D10" s="539"/>
      <c r="E10" s="545"/>
      <c r="F10" s="288"/>
      <c r="G10" s="582"/>
      <c r="H10" s="288"/>
      <c r="I10" s="569"/>
      <c r="J10" s="293"/>
      <c r="K10" s="294"/>
      <c r="L10" s="294"/>
      <c r="M10" s="579"/>
      <c r="N10" s="292"/>
    </row>
    <row r="11" spans="1:14" s="568" customFormat="1" ht="96">
      <c r="A11" s="536" t="s">
        <v>76</v>
      </c>
      <c r="B11" s="537" t="s">
        <v>77</v>
      </c>
      <c r="C11" s="538" t="s">
        <v>78</v>
      </c>
      <c r="D11" s="539">
        <v>60</v>
      </c>
      <c r="E11" s="545">
        <v>707.26</v>
      </c>
      <c r="F11" s="290">
        <f>D11*E11</f>
        <v>42436</v>
      </c>
      <c r="G11" s="547">
        <v>530</v>
      </c>
      <c r="H11" s="290">
        <f>G11*D11</f>
        <v>31800</v>
      </c>
      <c r="I11" s="570"/>
      <c r="J11" s="300">
        <f>D11*I11</f>
        <v>0</v>
      </c>
      <c r="K11" s="297" t="s">
        <v>79</v>
      </c>
      <c r="L11" s="296" t="s">
        <v>1511</v>
      </c>
      <c r="M11" s="579"/>
      <c r="N11" s="292"/>
    </row>
    <row r="12" spans="1:14" s="568" customFormat="1">
      <c r="A12" s="536">
        <v>104</v>
      </c>
      <c r="B12" s="537" t="s">
        <v>81</v>
      </c>
      <c r="C12" s="538"/>
      <c r="D12" s="539"/>
      <c r="E12" s="545"/>
      <c r="F12" s="288"/>
      <c r="G12" s="582"/>
      <c r="H12" s="288"/>
      <c r="I12" s="569"/>
      <c r="J12" s="293"/>
      <c r="K12" s="297"/>
      <c r="L12" s="294"/>
      <c r="M12" s="579"/>
      <c r="N12" s="292"/>
    </row>
    <row r="13" spans="1:14" s="568" customFormat="1" ht="24">
      <c r="A13" s="536" t="s">
        <v>82</v>
      </c>
      <c r="B13" s="537" t="s">
        <v>83</v>
      </c>
      <c r="C13" s="538" t="s">
        <v>65</v>
      </c>
      <c r="D13" s="539">
        <v>1</v>
      </c>
      <c r="E13" s="545">
        <v>9830</v>
      </c>
      <c r="F13" s="290">
        <f>D13*E13</f>
        <v>9830</v>
      </c>
      <c r="G13" s="547">
        <v>4915</v>
      </c>
      <c r="H13" s="290">
        <f>G13*D13</f>
        <v>4915</v>
      </c>
      <c r="I13" s="570"/>
      <c r="J13" s="300">
        <f>D13*I13</f>
        <v>0</v>
      </c>
      <c r="K13" s="296" t="s">
        <v>69</v>
      </c>
      <c r="L13" s="296" t="s">
        <v>84</v>
      </c>
      <c r="M13" s="579"/>
      <c r="N13" s="292"/>
    </row>
    <row r="14" spans="1:14" s="568" customFormat="1">
      <c r="A14" s="536">
        <v>109</v>
      </c>
      <c r="B14" s="537" t="s">
        <v>85</v>
      </c>
      <c r="C14" s="538"/>
      <c r="D14" s="539"/>
      <c r="E14" s="545"/>
      <c r="F14" s="288"/>
      <c r="G14" s="582"/>
      <c r="H14" s="288"/>
      <c r="I14" s="569"/>
      <c r="J14" s="293"/>
      <c r="K14" s="296"/>
      <c r="L14" s="294"/>
      <c r="M14" s="579"/>
      <c r="N14" s="292"/>
    </row>
    <row r="15" spans="1:14" s="568" customFormat="1" ht="60">
      <c r="A15" s="536" t="s">
        <v>86</v>
      </c>
      <c r="B15" s="537" t="s">
        <v>85</v>
      </c>
      <c r="C15" s="538" t="s">
        <v>65</v>
      </c>
      <c r="D15" s="539">
        <v>1</v>
      </c>
      <c r="E15" s="545">
        <v>55889.45</v>
      </c>
      <c r="F15" s="290">
        <f>D15*E15</f>
        <v>55889</v>
      </c>
      <c r="G15" s="547">
        <v>27387</v>
      </c>
      <c r="H15" s="290">
        <f>G15*D15</f>
        <v>27387</v>
      </c>
      <c r="I15" s="523"/>
      <c r="J15" s="300">
        <f>D15*I15</f>
        <v>0</v>
      </c>
      <c r="K15" s="296" t="s">
        <v>69</v>
      </c>
      <c r="L15" s="296" t="s">
        <v>1540</v>
      </c>
      <c r="M15" s="579"/>
      <c r="N15" s="292"/>
    </row>
    <row r="16" spans="1:14" s="568" customFormat="1">
      <c r="A16" s="541">
        <v>300</v>
      </c>
      <c r="B16" s="542" t="s">
        <v>87</v>
      </c>
      <c r="C16" s="538"/>
      <c r="D16" s="543"/>
      <c r="E16" s="582"/>
      <c r="F16" s="288"/>
      <c r="G16" s="582"/>
      <c r="H16" s="288"/>
      <c r="I16" s="567"/>
      <c r="J16" s="293"/>
      <c r="K16" s="297"/>
      <c r="L16" s="294"/>
      <c r="M16" s="579"/>
      <c r="N16" s="292"/>
    </row>
    <row r="17" spans="1:14" s="568" customFormat="1">
      <c r="A17" s="536">
        <v>303</v>
      </c>
      <c r="B17" s="537" t="s">
        <v>88</v>
      </c>
      <c r="C17" s="538"/>
      <c r="D17" s="539"/>
      <c r="E17" s="545"/>
      <c r="F17" s="288"/>
      <c r="G17" s="582"/>
      <c r="H17" s="288"/>
      <c r="I17" s="567"/>
      <c r="J17" s="293"/>
      <c r="K17" s="297"/>
      <c r="L17" s="294"/>
      <c r="M17" s="579"/>
      <c r="N17" s="292"/>
    </row>
    <row r="18" spans="1:14" s="568" customFormat="1">
      <c r="A18" s="536" t="s">
        <v>89</v>
      </c>
      <c r="B18" s="537" t="s">
        <v>90</v>
      </c>
      <c r="C18" s="538"/>
      <c r="D18" s="539"/>
      <c r="E18" s="545"/>
      <c r="F18" s="288"/>
      <c r="G18" s="582"/>
      <c r="H18" s="288"/>
      <c r="I18" s="567"/>
      <c r="J18" s="293"/>
      <c r="K18" s="297"/>
      <c r="L18" s="294"/>
      <c r="M18" s="579"/>
      <c r="N18" s="292"/>
    </row>
    <row r="19" spans="1:14" s="568" customFormat="1">
      <c r="A19" s="536" t="s">
        <v>91</v>
      </c>
      <c r="B19" s="537" t="s">
        <v>92</v>
      </c>
      <c r="C19" s="538"/>
      <c r="D19" s="539"/>
      <c r="E19" s="545"/>
      <c r="F19" s="288"/>
      <c r="G19" s="582"/>
      <c r="H19" s="288"/>
      <c r="I19" s="567"/>
      <c r="J19" s="293"/>
      <c r="K19" s="297"/>
      <c r="L19" s="294"/>
      <c r="M19" s="579"/>
      <c r="N19" s="292"/>
    </row>
    <row r="20" spans="1:14" s="568" customFormat="1" ht="90" customHeight="1">
      <c r="A20" s="536" t="s">
        <v>93</v>
      </c>
      <c r="B20" s="537" t="s">
        <v>94</v>
      </c>
      <c r="C20" s="538" t="s">
        <v>95</v>
      </c>
      <c r="D20" s="539">
        <v>20</v>
      </c>
      <c r="E20" s="545">
        <v>156.84</v>
      </c>
      <c r="F20" s="290">
        <f t="shared" ref="F20:F22" si="1">D20*E20</f>
        <v>3137</v>
      </c>
      <c r="G20" s="581">
        <v>82</v>
      </c>
      <c r="H20" s="290">
        <f t="shared" ref="H20:H22" si="2">G20*D20</f>
        <v>1640</v>
      </c>
      <c r="I20" s="573"/>
      <c r="J20" s="300">
        <f>D20*I20</f>
        <v>0</v>
      </c>
      <c r="K20" s="297" t="s">
        <v>96</v>
      </c>
      <c r="L20" s="297" t="s">
        <v>97</v>
      </c>
      <c r="M20" s="579"/>
      <c r="N20" s="292"/>
    </row>
    <row r="21" spans="1:14" s="568" customFormat="1" ht="130.05000000000001" customHeight="1">
      <c r="A21" s="536" t="s">
        <v>98</v>
      </c>
      <c r="B21" s="537" t="s">
        <v>99</v>
      </c>
      <c r="C21" s="538" t="s">
        <v>95</v>
      </c>
      <c r="D21" s="539">
        <v>20</v>
      </c>
      <c r="E21" s="545">
        <v>860.86</v>
      </c>
      <c r="F21" s="290">
        <f t="shared" si="1"/>
        <v>17217</v>
      </c>
      <c r="G21" s="581">
        <v>49.07</v>
      </c>
      <c r="H21" s="290">
        <f t="shared" si="2"/>
        <v>981</v>
      </c>
      <c r="I21" s="573"/>
      <c r="J21" s="300">
        <f>D21*I21</f>
        <v>0</v>
      </c>
      <c r="K21" s="297" t="s">
        <v>100</v>
      </c>
      <c r="L21" s="297" t="s">
        <v>1521</v>
      </c>
      <c r="M21" s="534"/>
      <c r="N21" s="292"/>
    </row>
    <row r="22" spans="1:14" s="568" customFormat="1" ht="90" customHeight="1">
      <c r="A22" s="536" t="s">
        <v>101</v>
      </c>
      <c r="B22" s="537" t="s">
        <v>102</v>
      </c>
      <c r="C22" s="538" t="s">
        <v>95</v>
      </c>
      <c r="D22" s="539">
        <v>20</v>
      </c>
      <c r="E22" s="545">
        <v>38.04</v>
      </c>
      <c r="F22" s="290">
        <f t="shared" si="1"/>
        <v>761</v>
      </c>
      <c r="G22" s="581">
        <v>20</v>
      </c>
      <c r="H22" s="290">
        <f t="shared" si="2"/>
        <v>400</v>
      </c>
      <c r="I22" s="573"/>
      <c r="J22" s="300">
        <f>D22*I22</f>
        <v>0</v>
      </c>
      <c r="K22" s="297" t="s">
        <v>103</v>
      </c>
      <c r="L22" s="297" t="s">
        <v>104</v>
      </c>
      <c r="M22" s="579"/>
      <c r="N22" s="292"/>
    </row>
    <row r="23" spans="1:14" s="568" customFormat="1">
      <c r="A23" s="536" t="s">
        <v>105</v>
      </c>
      <c r="B23" s="537" t="s">
        <v>106</v>
      </c>
      <c r="C23" s="538"/>
      <c r="D23" s="539"/>
      <c r="E23" s="545"/>
      <c r="F23" s="290"/>
      <c r="G23" s="581"/>
      <c r="H23" s="290"/>
      <c r="I23" s="574"/>
      <c r="J23" s="300"/>
      <c r="K23" s="297"/>
      <c r="L23" s="297"/>
      <c r="M23" s="579"/>
      <c r="N23" s="292"/>
    </row>
    <row r="24" spans="1:14" s="568" customFormat="1">
      <c r="A24" s="536" t="s">
        <v>107</v>
      </c>
      <c r="B24" s="537" t="s">
        <v>108</v>
      </c>
      <c r="C24" s="538"/>
      <c r="D24" s="539"/>
      <c r="E24" s="545"/>
      <c r="F24" s="290"/>
      <c r="G24" s="581"/>
      <c r="H24" s="290"/>
      <c r="I24" s="574"/>
      <c r="J24" s="300"/>
      <c r="K24" s="297"/>
      <c r="L24" s="297"/>
      <c r="M24" s="579"/>
      <c r="N24" s="292"/>
    </row>
    <row r="25" spans="1:14" s="568" customFormat="1">
      <c r="A25" s="536" t="s">
        <v>109</v>
      </c>
      <c r="B25" s="537" t="s">
        <v>110</v>
      </c>
      <c r="C25" s="538"/>
      <c r="D25" s="539"/>
      <c r="E25" s="545"/>
      <c r="F25" s="290"/>
      <c r="G25" s="581"/>
      <c r="H25" s="290"/>
      <c r="I25" s="574"/>
      <c r="J25" s="300"/>
      <c r="K25" s="297"/>
      <c r="L25" s="297"/>
      <c r="M25" s="579"/>
      <c r="N25" s="292"/>
    </row>
    <row r="26" spans="1:14" s="568" customFormat="1" ht="115.05" customHeight="1">
      <c r="A26" s="536" t="s">
        <v>111</v>
      </c>
      <c r="B26" s="537" t="s">
        <v>112</v>
      </c>
      <c r="C26" s="538" t="s">
        <v>113</v>
      </c>
      <c r="D26" s="539">
        <v>2933.3330000000001</v>
      </c>
      <c r="E26" s="545">
        <v>76.59</v>
      </c>
      <c r="F26" s="290">
        <f>D26*E26</f>
        <v>224664</v>
      </c>
      <c r="G26" s="581">
        <v>57.2</v>
      </c>
      <c r="H26" s="290">
        <f>G26*D26</f>
        <v>167787</v>
      </c>
      <c r="I26" s="573"/>
      <c r="J26" s="300">
        <f>D26*I26</f>
        <v>0</v>
      </c>
      <c r="K26" s="297" t="s">
        <v>114</v>
      </c>
      <c r="L26" s="297" t="s">
        <v>115</v>
      </c>
      <c r="M26" s="579"/>
      <c r="N26" s="292"/>
    </row>
    <row r="27" spans="1:14" s="568" customFormat="1">
      <c r="A27" s="536" t="s">
        <v>116</v>
      </c>
      <c r="B27" s="537" t="s">
        <v>117</v>
      </c>
      <c r="C27" s="538"/>
      <c r="D27" s="539"/>
      <c r="E27" s="545"/>
      <c r="F27" s="288"/>
      <c r="G27" s="582"/>
      <c r="H27" s="288"/>
      <c r="I27" s="567"/>
      <c r="J27" s="293"/>
      <c r="K27" s="294"/>
      <c r="L27" s="294"/>
      <c r="M27" s="579"/>
      <c r="N27" s="292"/>
    </row>
    <row r="28" spans="1:14" s="568" customFormat="1" ht="24">
      <c r="A28" s="536" t="s">
        <v>118</v>
      </c>
      <c r="B28" s="537" t="s">
        <v>119</v>
      </c>
      <c r="C28" s="538"/>
      <c r="D28" s="539"/>
      <c r="E28" s="545"/>
      <c r="F28" s="288"/>
      <c r="G28" s="582"/>
      <c r="H28" s="288"/>
      <c r="I28" s="567"/>
      <c r="J28" s="293"/>
      <c r="K28" s="294"/>
      <c r="L28" s="294"/>
      <c r="M28" s="579"/>
      <c r="N28" s="292"/>
    </row>
    <row r="29" spans="1:14" s="568" customFormat="1" ht="115.05" customHeight="1">
      <c r="A29" s="536" t="s">
        <v>120</v>
      </c>
      <c r="B29" s="537" t="s">
        <v>121</v>
      </c>
      <c r="C29" s="538" t="s">
        <v>113</v>
      </c>
      <c r="D29" s="539">
        <v>2925</v>
      </c>
      <c r="E29" s="545">
        <v>63.8</v>
      </c>
      <c r="F29" s="290">
        <f>D29*E29</f>
        <v>186615</v>
      </c>
      <c r="G29" s="581">
        <v>49.52</v>
      </c>
      <c r="H29" s="290">
        <f>G29*D29</f>
        <v>144846</v>
      </c>
      <c r="I29" s="573"/>
      <c r="J29" s="300">
        <f>D29*I29</f>
        <v>0</v>
      </c>
      <c r="K29" s="297" t="s">
        <v>114</v>
      </c>
      <c r="L29" s="297" t="s">
        <v>115</v>
      </c>
      <c r="M29" s="579"/>
      <c r="N29" s="292"/>
    </row>
    <row r="30" spans="1:14" s="568" customFormat="1">
      <c r="A30" s="536" t="s">
        <v>122</v>
      </c>
      <c r="B30" s="537" t="s">
        <v>123</v>
      </c>
      <c r="C30" s="538"/>
      <c r="D30" s="539"/>
      <c r="E30" s="545"/>
      <c r="F30" s="288"/>
      <c r="G30" s="582"/>
      <c r="H30" s="288"/>
      <c r="I30" s="567"/>
      <c r="J30" s="293"/>
      <c r="K30" s="294"/>
      <c r="L30" s="294"/>
      <c r="M30" s="579"/>
      <c r="N30" s="292"/>
    </row>
    <row r="31" spans="1:14" s="568" customFormat="1" ht="115.05" customHeight="1">
      <c r="A31" s="536" t="s">
        <v>124</v>
      </c>
      <c r="B31" s="537" t="s">
        <v>125</v>
      </c>
      <c r="C31" s="538" t="s">
        <v>113</v>
      </c>
      <c r="D31" s="539">
        <v>2925</v>
      </c>
      <c r="E31" s="545">
        <v>1.63</v>
      </c>
      <c r="F31" s="290">
        <f>D31*E31</f>
        <v>4768</v>
      </c>
      <c r="G31" s="581">
        <v>1.1000000000000001</v>
      </c>
      <c r="H31" s="290">
        <f>G31*D31</f>
        <v>3218</v>
      </c>
      <c r="I31" s="573"/>
      <c r="J31" s="300">
        <f>D31*I31</f>
        <v>0</v>
      </c>
      <c r="K31" s="297" t="s">
        <v>126</v>
      </c>
      <c r="L31" s="297" t="s">
        <v>127</v>
      </c>
      <c r="M31" s="579"/>
      <c r="N31" s="292"/>
    </row>
    <row r="32" spans="1:14" s="568" customFormat="1">
      <c r="A32" s="536" t="s">
        <v>128</v>
      </c>
      <c r="B32" s="537" t="s">
        <v>129</v>
      </c>
      <c r="C32" s="538"/>
      <c r="D32" s="539"/>
      <c r="E32" s="545"/>
      <c r="F32" s="290"/>
      <c r="G32" s="581"/>
      <c r="H32" s="290"/>
      <c r="I32" s="574"/>
      <c r="J32" s="300"/>
      <c r="K32" s="297"/>
      <c r="L32" s="297"/>
      <c r="M32" s="579"/>
      <c r="N32" s="292"/>
    </row>
    <row r="33" spans="1:17" s="568" customFormat="1" ht="115.05" customHeight="1">
      <c r="A33" s="536" t="s">
        <v>130</v>
      </c>
      <c r="B33" s="537" t="s">
        <v>131</v>
      </c>
      <c r="C33" s="538" t="s">
        <v>113</v>
      </c>
      <c r="D33" s="539">
        <v>2933</v>
      </c>
      <c r="E33" s="545">
        <v>9.24</v>
      </c>
      <c r="F33" s="290">
        <f>D33*E33</f>
        <v>27101</v>
      </c>
      <c r="G33" s="581">
        <v>5.73</v>
      </c>
      <c r="H33" s="290">
        <f>G33*D33</f>
        <v>16806</v>
      </c>
      <c r="I33" s="573"/>
      <c r="J33" s="300">
        <f>D33*I33</f>
        <v>0</v>
      </c>
      <c r="K33" s="297" t="s">
        <v>132</v>
      </c>
      <c r="L33" s="297" t="s">
        <v>133</v>
      </c>
      <c r="M33" s="579"/>
      <c r="N33" s="292"/>
    </row>
    <row r="34" spans="1:17" s="568" customFormat="1">
      <c r="A34" s="541">
        <v>500</v>
      </c>
      <c r="B34" s="542" t="s">
        <v>24</v>
      </c>
      <c r="C34" s="538"/>
      <c r="D34" s="539"/>
      <c r="E34" s="545"/>
      <c r="F34" s="288"/>
      <c r="G34" s="581"/>
      <c r="H34" s="288"/>
      <c r="I34" s="567"/>
      <c r="J34" s="293"/>
      <c r="K34" s="294"/>
      <c r="L34" s="294"/>
      <c r="M34" s="579"/>
      <c r="N34" s="292"/>
    </row>
    <row r="35" spans="1:17" s="568" customFormat="1">
      <c r="A35" s="536">
        <v>503</v>
      </c>
      <c r="B35" s="537" t="s">
        <v>134</v>
      </c>
      <c r="C35" s="538"/>
      <c r="D35" s="539"/>
      <c r="E35" s="545"/>
      <c r="F35" s="290"/>
      <c r="G35" s="581"/>
      <c r="H35" s="290"/>
      <c r="I35" s="574"/>
      <c r="J35" s="300"/>
      <c r="K35" s="297"/>
      <c r="L35" s="297"/>
      <c r="M35" s="534"/>
      <c r="N35" s="292"/>
    </row>
    <row r="36" spans="1:17" s="568" customFormat="1">
      <c r="A36" s="536" t="s">
        <v>135</v>
      </c>
      <c r="B36" s="537" t="s">
        <v>136</v>
      </c>
      <c r="C36" s="538"/>
      <c r="D36" s="539"/>
      <c r="E36" s="545"/>
      <c r="F36" s="290"/>
      <c r="G36" s="581"/>
      <c r="H36" s="290"/>
      <c r="I36" s="574"/>
      <c r="J36" s="300"/>
      <c r="K36" s="297"/>
      <c r="L36" s="297"/>
      <c r="M36" s="579"/>
      <c r="N36" s="292"/>
    </row>
    <row r="37" spans="1:17" s="568" customFormat="1">
      <c r="A37" s="536" t="s">
        <v>277</v>
      </c>
      <c r="B37" s="537" t="s">
        <v>278</v>
      </c>
      <c r="C37" s="538"/>
      <c r="D37" s="539"/>
      <c r="E37" s="545"/>
      <c r="F37" s="288"/>
      <c r="G37" s="582"/>
      <c r="H37" s="288"/>
      <c r="I37" s="567"/>
      <c r="J37" s="293"/>
      <c r="K37" s="294"/>
      <c r="L37" s="294"/>
      <c r="M37" s="579"/>
      <c r="N37" s="292"/>
    </row>
    <row r="38" spans="1:17" s="568" customFormat="1" ht="90" customHeight="1">
      <c r="A38" s="536" t="s">
        <v>279</v>
      </c>
      <c r="B38" s="537" t="s">
        <v>280</v>
      </c>
      <c r="C38" s="538" t="s">
        <v>140</v>
      </c>
      <c r="D38" s="539">
        <v>313</v>
      </c>
      <c r="E38" s="545">
        <v>121.45</v>
      </c>
      <c r="F38" s="290">
        <f>D38*E38</f>
        <v>38014</v>
      </c>
      <c r="G38" s="547">
        <v>52</v>
      </c>
      <c r="H38" s="290">
        <f>G38*D38</f>
        <v>16276</v>
      </c>
      <c r="I38" s="573"/>
      <c r="J38" s="300">
        <f>D38*I38</f>
        <v>0</v>
      </c>
      <c r="K38" s="297" t="s">
        <v>141</v>
      </c>
      <c r="L38" s="297" t="s">
        <v>142</v>
      </c>
      <c r="M38" s="579"/>
      <c r="N38" s="292"/>
    </row>
    <row r="39" spans="1:17" s="568" customFormat="1">
      <c r="A39" s="536" t="s">
        <v>281</v>
      </c>
      <c r="B39" s="537" t="s">
        <v>282</v>
      </c>
      <c r="C39" s="538"/>
      <c r="D39" s="539"/>
      <c r="E39" s="545"/>
      <c r="F39" s="290"/>
      <c r="G39" s="581"/>
      <c r="H39" s="290"/>
      <c r="I39" s="574"/>
      <c r="J39" s="300"/>
      <c r="K39" s="297"/>
      <c r="L39" s="297"/>
      <c r="M39" s="579"/>
      <c r="N39" s="292"/>
    </row>
    <row r="40" spans="1:17" s="568" customFormat="1" ht="115.05" customHeight="1">
      <c r="A40" s="536" t="s">
        <v>283</v>
      </c>
      <c r="B40" s="537" t="s">
        <v>146</v>
      </c>
      <c r="C40" s="538" t="s">
        <v>95</v>
      </c>
      <c r="D40" s="539">
        <v>72</v>
      </c>
      <c r="E40" s="545">
        <v>673.04</v>
      </c>
      <c r="F40" s="290">
        <f>D40*E40</f>
        <v>48459</v>
      </c>
      <c r="G40" s="581">
        <v>463.5</v>
      </c>
      <c r="H40" s="290">
        <f>G40*D40</f>
        <v>33372</v>
      </c>
      <c r="I40" s="573"/>
      <c r="J40" s="300">
        <f>D40*I40</f>
        <v>0</v>
      </c>
      <c r="K40" s="297" t="s">
        <v>147</v>
      </c>
      <c r="L40" s="297" t="s">
        <v>148</v>
      </c>
      <c r="M40" s="579"/>
      <c r="N40" s="292"/>
      <c r="Q40" s="607"/>
    </row>
    <row r="41" spans="1:17" s="568" customFormat="1">
      <c r="A41" s="536" t="s">
        <v>137</v>
      </c>
      <c r="B41" s="537" t="s">
        <v>138</v>
      </c>
      <c r="C41" s="538"/>
      <c r="D41" s="539"/>
      <c r="E41" s="545"/>
      <c r="F41" s="290"/>
      <c r="G41" s="581"/>
      <c r="H41" s="290"/>
      <c r="I41" s="574"/>
      <c r="J41" s="300"/>
      <c r="K41" s="297"/>
      <c r="L41" s="297"/>
      <c r="M41" s="534"/>
      <c r="N41" s="292"/>
    </row>
    <row r="42" spans="1:17" s="568" customFormat="1" ht="90" customHeight="1">
      <c r="A42" s="536" t="s">
        <v>139</v>
      </c>
      <c r="B42" s="537" t="s">
        <v>275</v>
      </c>
      <c r="C42" s="538" t="s">
        <v>140</v>
      </c>
      <c r="D42" s="539">
        <v>10091</v>
      </c>
      <c r="E42" s="545">
        <v>132.88999999999999</v>
      </c>
      <c r="F42" s="290">
        <f>D42*E42</f>
        <v>1340993</v>
      </c>
      <c r="G42" s="581">
        <v>57.2</v>
      </c>
      <c r="H42" s="290">
        <f>G42*D42</f>
        <v>577205</v>
      </c>
      <c r="I42" s="573"/>
      <c r="J42" s="300">
        <f>D42*I42</f>
        <v>0</v>
      </c>
      <c r="K42" s="297" t="s">
        <v>141</v>
      </c>
      <c r="L42" s="297" t="s">
        <v>142</v>
      </c>
      <c r="M42" s="579"/>
      <c r="N42" s="292"/>
    </row>
    <row r="43" spans="1:17" s="568" customFormat="1">
      <c r="A43" s="536" t="s">
        <v>143</v>
      </c>
      <c r="B43" s="537" t="s">
        <v>144</v>
      </c>
      <c r="C43" s="538"/>
      <c r="D43" s="539"/>
      <c r="E43" s="545"/>
      <c r="F43" s="290"/>
      <c r="G43" s="581"/>
      <c r="H43" s="290"/>
      <c r="I43" s="574"/>
      <c r="J43" s="300"/>
      <c r="K43" s="297"/>
      <c r="L43" s="297"/>
      <c r="M43" s="534"/>
      <c r="N43" s="292"/>
    </row>
    <row r="44" spans="1:17" s="568" customFormat="1" ht="115.05" customHeight="1">
      <c r="A44" s="536" t="s">
        <v>145</v>
      </c>
      <c r="B44" s="537" t="s">
        <v>146</v>
      </c>
      <c r="C44" s="538" t="s">
        <v>95</v>
      </c>
      <c r="D44" s="539">
        <v>2322</v>
      </c>
      <c r="E44" s="545">
        <v>661.59</v>
      </c>
      <c r="F44" s="290">
        <f>D44*E44</f>
        <v>1536212</v>
      </c>
      <c r="G44" s="581">
        <v>463.5</v>
      </c>
      <c r="H44" s="290">
        <f>G44*D44</f>
        <v>1076247</v>
      </c>
      <c r="I44" s="573"/>
      <c r="J44" s="300">
        <f>D44*I44</f>
        <v>0</v>
      </c>
      <c r="K44" s="297" t="s">
        <v>147</v>
      </c>
      <c r="L44" s="297" t="s">
        <v>148</v>
      </c>
      <c r="M44" s="579"/>
      <c r="N44" s="292"/>
    </row>
    <row r="45" spans="1:17" s="568" customFormat="1">
      <c r="A45" s="536" t="s">
        <v>149</v>
      </c>
      <c r="B45" s="537" t="s">
        <v>150</v>
      </c>
      <c r="C45" s="538"/>
      <c r="D45" s="539"/>
      <c r="E45" s="545"/>
      <c r="F45" s="290"/>
      <c r="G45" s="581"/>
      <c r="H45" s="290"/>
      <c r="I45" s="574"/>
      <c r="J45" s="300"/>
      <c r="K45" s="297"/>
      <c r="L45" s="297"/>
      <c r="M45" s="534"/>
      <c r="N45" s="292"/>
    </row>
    <row r="46" spans="1:17" s="568" customFormat="1">
      <c r="A46" s="536" t="s">
        <v>151</v>
      </c>
      <c r="B46" s="537" t="s">
        <v>152</v>
      </c>
      <c r="C46" s="538"/>
      <c r="D46" s="539"/>
      <c r="E46" s="545"/>
      <c r="F46" s="290"/>
      <c r="G46" s="581"/>
      <c r="H46" s="290"/>
      <c r="I46" s="574"/>
      <c r="J46" s="300"/>
      <c r="K46" s="297"/>
      <c r="L46" s="297"/>
      <c r="M46" s="579"/>
      <c r="N46" s="292"/>
    </row>
    <row r="47" spans="1:17" s="568" customFormat="1" ht="79.95" customHeight="1">
      <c r="A47" s="536" t="s">
        <v>153</v>
      </c>
      <c r="B47" s="537" t="s">
        <v>154</v>
      </c>
      <c r="C47" s="538" t="s">
        <v>95</v>
      </c>
      <c r="D47" s="539">
        <v>88</v>
      </c>
      <c r="E47" s="545">
        <v>521.59</v>
      </c>
      <c r="F47" s="290">
        <f t="shared" ref="F47:F49" si="3">D47*E47</f>
        <v>45900</v>
      </c>
      <c r="G47" s="581">
        <v>239.74</v>
      </c>
      <c r="H47" s="290">
        <f t="shared" ref="H47:H49" si="4">G47*D47</f>
        <v>21097</v>
      </c>
      <c r="I47" s="573"/>
      <c r="J47" s="300">
        <f>D47*I47</f>
        <v>0</v>
      </c>
      <c r="K47" s="297" t="s">
        <v>155</v>
      </c>
      <c r="L47" s="297" t="s">
        <v>156</v>
      </c>
      <c r="M47" s="534"/>
      <c r="N47" s="292"/>
    </row>
    <row r="48" spans="1:17" s="568" customFormat="1" ht="79.95" customHeight="1">
      <c r="A48" s="536" t="s">
        <v>157</v>
      </c>
      <c r="B48" s="537" t="s">
        <v>158</v>
      </c>
      <c r="C48" s="538" t="s">
        <v>95</v>
      </c>
      <c r="D48" s="539">
        <v>392</v>
      </c>
      <c r="E48" s="545">
        <v>150.85</v>
      </c>
      <c r="F48" s="290">
        <f t="shared" si="3"/>
        <v>59133</v>
      </c>
      <c r="G48" s="581">
        <v>73.8</v>
      </c>
      <c r="H48" s="290">
        <f t="shared" si="4"/>
        <v>28930</v>
      </c>
      <c r="I48" s="573"/>
      <c r="J48" s="300">
        <f>D48*I48</f>
        <v>0</v>
      </c>
      <c r="K48" s="297" t="s">
        <v>155</v>
      </c>
      <c r="L48" s="297" t="s">
        <v>156</v>
      </c>
      <c r="M48" s="534"/>
      <c r="N48" s="292"/>
    </row>
    <row r="49" spans="1:15" s="568" customFormat="1" ht="90" customHeight="1">
      <c r="A49" s="536" t="s">
        <v>159</v>
      </c>
      <c r="B49" s="537" t="s">
        <v>102</v>
      </c>
      <c r="C49" s="538" t="s">
        <v>95</v>
      </c>
      <c r="D49" s="539">
        <v>480</v>
      </c>
      <c r="E49" s="545">
        <v>38</v>
      </c>
      <c r="F49" s="290">
        <f t="shared" si="3"/>
        <v>18240</v>
      </c>
      <c r="G49" s="581">
        <v>20</v>
      </c>
      <c r="H49" s="290">
        <f t="shared" si="4"/>
        <v>9600</v>
      </c>
      <c r="I49" s="573"/>
      <c r="J49" s="300">
        <f>D49*I49</f>
        <v>0</v>
      </c>
      <c r="K49" s="297" t="s">
        <v>103</v>
      </c>
      <c r="L49" s="297" t="s">
        <v>104</v>
      </c>
      <c r="M49" s="534"/>
      <c r="N49" s="292"/>
    </row>
    <row r="50" spans="1:15" s="568" customFormat="1">
      <c r="A50" s="536" t="s">
        <v>160</v>
      </c>
      <c r="B50" s="537" t="s">
        <v>161</v>
      </c>
      <c r="C50" s="538"/>
      <c r="D50" s="539"/>
      <c r="E50" s="545"/>
      <c r="F50" s="290"/>
      <c r="G50" s="581"/>
      <c r="H50" s="290"/>
      <c r="I50" s="574"/>
      <c r="J50" s="300"/>
      <c r="K50" s="297"/>
      <c r="L50" s="297"/>
      <c r="M50" s="534"/>
      <c r="N50" s="292"/>
    </row>
    <row r="51" spans="1:15" s="568" customFormat="1" ht="115.05" customHeight="1">
      <c r="A51" s="536" t="s">
        <v>162</v>
      </c>
      <c r="B51" s="537" t="s">
        <v>163</v>
      </c>
      <c r="C51" s="538" t="s">
        <v>164</v>
      </c>
      <c r="D51" s="539">
        <v>16565</v>
      </c>
      <c r="E51" s="545">
        <v>5.98</v>
      </c>
      <c r="F51" s="290">
        <f t="shared" ref="F51:F55" si="5">D51*E51</f>
        <v>99059</v>
      </c>
      <c r="G51" s="581">
        <v>0.94</v>
      </c>
      <c r="H51" s="290">
        <f t="shared" ref="H51:H55" si="6">G51*D51</f>
        <v>15571</v>
      </c>
      <c r="I51" s="573"/>
      <c r="J51" s="300">
        <f>D51*I51</f>
        <v>0</v>
      </c>
      <c r="K51" s="297" t="s">
        <v>165</v>
      </c>
      <c r="L51" s="297" t="s">
        <v>1512</v>
      </c>
      <c r="M51" s="534"/>
      <c r="N51" s="292"/>
    </row>
    <row r="52" spans="1:15" s="568" customFormat="1" ht="100.05" customHeight="1">
      <c r="A52" s="536" t="s">
        <v>166</v>
      </c>
      <c r="B52" s="537" t="s">
        <v>262</v>
      </c>
      <c r="C52" s="538" t="s">
        <v>164</v>
      </c>
      <c r="D52" s="539">
        <v>31713.78</v>
      </c>
      <c r="E52" s="545">
        <v>15.28</v>
      </c>
      <c r="F52" s="290">
        <f t="shared" si="5"/>
        <v>484587</v>
      </c>
      <c r="G52" s="581">
        <v>10.66</v>
      </c>
      <c r="H52" s="290">
        <f t="shared" si="6"/>
        <v>338069</v>
      </c>
      <c r="I52" s="573"/>
      <c r="J52" s="300">
        <f>D52*I52</f>
        <v>0</v>
      </c>
      <c r="K52" s="297" t="s">
        <v>167</v>
      </c>
      <c r="L52" s="297" t="s">
        <v>168</v>
      </c>
      <c r="M52" s="534"/>
      <c r="N52" s="292"/>
    </row>
    <row r="53" spans="1:15" s="568" customFormat="1" ht="115.05" customHeight="1">
      <c r="A53" s="536" t="s">
        <v>175</v>
      </c>
      <c r="B53" s="537" t="s">
        <v>176</v>
      </c>
      <c r="C53" s="538" t="s">
        <v>164</v>
      </c>
      <c r="D53" s="539">
        <v>69331.199999999997</v>
      </c>
      <c r="E53" s="545">
        <v>10.06</v>
      </c>
      <c r="F53" s="290">
        <f t="shared" si="5"/>
        <v>697472</v>
      </c>
      <c r="G53" s="581">
        <v>6.64</v>
      </c>
      <c r="H53" s="290">
        <f t="shared" si="6"/>
        <v>460359</v>
      </c>
      <c r="I53" s="573"/>
      <c r="J53" s="300">
        <f>D53*I53</f>
        <v>0</v>
      </c>
      <c r="K53" s="297" t="s">
        <v>177</v>
      </c>
      <c r="L53" s="297" t="s">
        <v>178</v>
      </c>
      <c r="M53" s="534"/>
      <c r="N53" s="292"/>
    </row>
    <row r="54" spans="1:15" s="568" customFormat="1" ht="115.05" customHeight="1">
      <c r="A54" s="536" t="s">
        <v>179</v>
      </c>
      <c r="B54" s="537" t="s">
        <v>180</v>
      </c>
      <c r="C54" s="538" t="s">
        <v>164</v>
      </c>
      <c r="D54" s="539">
        <v>4153</v>
      </c>
      <c r="E54" s="545">
        <v>3.67</v>
      </c>
      <c r="F54" s="290">
        <f t="shared" si="5"/>
        <v>15242</v>
      </c>
      <c r="G54" s="581">
        <v>2.2000000000000002</v>
      </c>
      <c r="H54" s="290">
        <f t="shared" si="6"/>
        <v>9137</v>
      </c>
      <c r="I54" s="573"/>
      <c r="J54" s="300">
        <f>D54*I54</f>
        <v>0</v>
      </c>
      <c r="K54" s="297" t="s">
        <v>181</v>
      </c>
      <c r="L54" s="297" t="s">
        <v>182</v>
      </c>
      <c r="M54" s="534"/>
      <c r="N54" s="292"/>
    </row>
    <row r="55" spans="1:15" s="568" customFormat="1" ht="115.05" customHeight="1">
      <c r="A55" s="536" t="s">
        <v>183</v>
      </c>
      <c r="B55" s="537" t="s">
        <v>284</v>
      </c>
      <c r="C55" s="538" t="s">
        <v>185</v>
      </c>
      <c r="D55" s="539">
        <v>252</v>
      </c>
      <c r="E55" s="545">
        <v>28.88</v>
      </c>
      <c r="F55" s="290">
        <f t="shared" si="5"/>
        <v>7278</v>
      </c>
      <c r="G55" s="581">
        <v>15.45</v>
      </c>
      <c r="H55" s="290">
        <f t="shared" si="6"/>
        <v>3893</v>
      </c>
      <c r="I55" s="573"/>
      <c r="J55" s="300">
        <f>D55*I55</f>
        <v>0</v>
      </c>
      <c r="K55" s="297" t="s">
        <v>186</v>
      </c>
      <c r="L55" s="297" t="s">
        <v>1513</v>
      </c>
      <c r="M55" s="534"/>
      <c r="N55" s="292">
        <v>15</v>
      </c>
      <c r="O55" s="568">
        <f>N55*1.03</f>
        <v>15.45</v>
      </c>
    </row>
    <row r="56" spans="1:15" s="568" customFormat="1">
      <c r="A56" s="536" t="s">
        <v>187</v>
      </c>
      <c r="B56" s="537" t="s">
        <v>188</v>
      </c>
      <c r="C56" s="538"/>
      <c r="D56" s="539"/>
      <c r="E56" s="545"/>
      <c r="F56" s="290"/>
      <c r="G56" s="581"/>
      <c r="H56" s="290"/>
      <c r="I56" s="574"/>
      <c r="J56" s="300"/>
      <c r="K56" s="297"/>
      <c r="L56" s="297"/>
      <c r="M56" s="534"/>
      <c r="N56" s="292"/>
    </row>
    <row r="57" spans="1:15" s="568" customFormat="1" ht="115.05" customHeight="1">
      <c r="A57" s="536" t="s">
        <v>189</v>
      </c>
      <c r="B57" s="537" t="s">
        <v>285</v>
      </c>
      <c r="C57" s="538" t="s">
        <v>95</v>
      </c>
      <c r="D57" s="539">
        <v>137</v>
      </c>
      <c r="E57" s="545">
        <v>1176.0899999999999</v>
      </c>
      <c r="F57" s="290">
        <f>D57*E57</f>
        <v>161124</v>
      </c>
      <c r="G57" s="581">
        <v>238.21</v>
      </c>
      <c r="H57" s="290">
        <f>G57*D57</f>
        <v>32635</v>
      </c>
      <c r="I57" s="573"/>
      <c r="J57" s="300">
        <f>D57*I57</f>
        <v>0</v>
      </c>
      <c r="K57" s="297" t="s">
        <v>191</v>
      </c>
      <c r="L57" s="297" t="s">
        <v>1516</v>
      </c>
      <c r="M57" s="534"/>
      <c r="N57" s="292"/>
    </row>
    <row r="58" spans="1:15" s="568" customFormat="1">
      <c r="A58" s="536" t="s">
        <v>197</v>
      </c>
      <c r="B58" s="537" t="s">
        <v>198</v>
      </c>
      <c r="C58" s="538"/>
      <c r="D58" s="539"/>
      <c r="E58" s="545"/>
      <c r="F58" s="290"/>
      <c r="G58" s="581"/>
      <c r="H58" s="290"/>
      <c r="I58" s="574"/>
      <c r="J58" s="300"/>
      <c r="K58" s="297"/>
      <c r="L58" s="297"/>
      <c r="M58" s="534"/>
      <c r="N58" s="292"/>
    </row>
    <row r="59" spans="1:15" s="568" customFormat="1" ht="135" customHeight="1">
      <c r="A59" s="536" t="s">
        <v>199</v>
      </c>
      <c r="B59" s="537" t="s">
        <v>200</v>
      </c>
      <c r="C59" s="538" t="s">
        <v>95</v>
      </c>
      <c r="D59" s="539">
        <v>1466</v>
      </c>
      <c r="E59" s="545">
        <v>749.11</v>
      </c>
      <c r="F59" s="290">
        <f>D59*E59</f>
        <v>1098195</v>
      </c>
      <c r="G59" s="581">
        <v>51.03</v>
      </c>
      <c r="H59" s="290">
        <f>G59*D59</f>
        <v>74810</v>
      </c>
      <c r="I59" s="573"/>
      <c r="J59" s="300">
        <f>D59*I59</f>
        <v>0</v>
      </c>
      <c r="K59" s="297" t="s">
        <v>201</v>
      </c>
      <c r="L59" s="297" t="s">
        <v>1517</v>
      </c>
      <c r="M59" s="534"/>
      <c r="N59" s="292"/>
    </row>
    <row r="60" spans="1:15" s="568" customFormat="1">
      <c r="A60" s="536" t="s">
        <v>202</v>
      </c>
      <c r="B60" s="537" t="s">
        <v>203</v>
      </c>
      <c r="C60" s="538"/>
      <c r="D60" s="539"/>
      <c r="E60" s="545"/>
      <c r="F60" s="290"/>
      <c r="G60" s="581"/>
      <c r="H60" s="290"/>
      <c r="I60" s="574"/>
      <c r="J60" s="300"/>
      <c r="K60" s="297"/>
      <c r="L60" s="297"/>
      <c r="M60" s="534"/>
      <c r="N60" s="292"/>
    </row>
    <row r="61" spans="1:15" s="568" customFormat="1">
      <c r="A61" s="536" t="s">
        <v>204</v>
      </c>
      <c r="B61" s="537" t="s">
        <v>205</v>
      </c>
      <c r="C61" s="538"/>
      <c r="D61" s="539"/>
      <c r="E61" s="545"/>
      <c r="F61" s="290"/>
      <c r="G61" s="581"/>
      <c r="H61" s="290"/>
      <c r="I61" s="574"/>
      <c r="J61" s="300"/>
      <c r="K61" s="297"/>
      <c r="L61" s="297"/>
      <c r="M61" s="534"/>
      <c r="N61" s="292"/>
    </row>
    <row r="62" spans="1:15" s="568" customFormat="1" ht="102" customHeight="1">
      <c r="A62" s="536" t="s">
        <v>206</v>
      </c>
      <c r="B62" s="537" t="s">
        <v>207</v>
      </c>
      <c r="C62" s="538" t="s">
        <v>113</v>
      </c>
      <c r="D62" s="539">
        <v>209</v>
      </c>
      <c r="E62" s="545">
        <v>14.59</v>
      </c>
      <c r="F62" s="290">
        <f t="shared" ref="F62:F63" si="7">D62*E62</f>
        <v>3049</v>
      </c>
      <c r="G62" s="581">
        <v>10.4</v>
      </c>
      <c r="H62" s="290">
        <f t="shared" ref="H62:H63" si="8">G62*D62</f>
        <v>2174</v>
      </c>
      <c r="I62" s="573"/>
      <c r="J62" s="300">
        <f>D62*I62</f>
        <v>0</v>
      </c>
      <c r="K62" s="297" t="s">
        <v>208</v>
      </c>
      <c r="L62" s="297" t="s">
        <v>209</v>
      </c>
      <c r="M62" s="534"/>
      <c r="N62" s="292"/>
    </row>
    <row r="63" spans="1:15" s="568" customFormat="1" ht="90" customHeight="1">
      <c r="A63" s="536" t="s">
        <v>210</v>
      </c>
      <c r="B63" s="537" t="s">
        <v>211</v>
      </c>
      <c r="C63" s="538" t="s">
        <v>113</v>
      </c>
      <c r="D63" s="539">
        <v>174</v>
      </c>
      <c r="E63" s="545">
        <v>35.11</v>
      </c>
      <c r="F63" s="290">
        <f t="shared" si="7"/>
        <v>6109</v>
      </c>
      <c r="G63" s="581">
        <v>25.2</v>
      </c>
      <c r="H63" s="290">
        <f t="shared" si="8"/>
        <v>4385</v>
      </c>
      <c r="I63" s="573"/>
      <c r="J63" s="300">
        <f>D63*I63</f>
        <v>0</v>
      </c>
      <c r="K63" s="297" t="s">
        <v>212</v>
      </c>
      <c r="L63" s="297" t="s">
        <v>213</v>
      </c>
      <c r="M63" s="534"/>
      <c r="N63" s="292"/>
    </row>
    <row r="64" spans="1:15" s="568" customFormat="1">
      <c r="A64" s="536" t="s">
        <v>214</v>
      </c>
      <c r="B64" s="537" t="s">
        <v>215</v>
      </c>
      <c r="C64" s="538"/>
      <c r="D64" s="539"/>
      <c r="E64" s="545"/>
      <c r="F64" s="288"/>
      <c r="G64" s="582"/>
      <c r="H64" s="288"/>
      <c r="I64" s="567"/>
      <c r="J64" s="293"/>
      <c r="K64" s="294"/>
      <c r="L64" s="294"/>
      <c r="M64" s="579"/>
      <c r="N64" s="292"/>
    </row>
    <row r="65" spans="1:14" s="568" customFormat="1" ht="90" customHeight="1">
      <c r="A65" s="536" t="s">
        <v>216</v>
      </c>
      <c r="B65" s="537" t="s">
        <v>286</v>
      </c>
      <c r="C65" s="538" t="s">
        <v>95</v>
      </c>
      <c r="D65" s="539">
        <v>72.891000000000005</v>
      </c>
      <c r="E65" s="545">
        <v>1203.46</v>
      </c>
      <c r="F65" s="290">
        <f t="shared" ref="F65:F69" si="9">D65*E65</f>
        <v>87721</v>
      </c>
      <c r="G65" s="581">
        <v>280</v>
      </c>
      <c r="H65" s="290">
        <f t="shared" ref="H65:H69" si="10">G65*D65</f>
        <v>20409</v>
      </c>
      <c r="I65" s="573"/>
      <c r="J65" s="300">
        <f>D65*I65</f>
        <v>0</v>
      </c>
      <c r="K65" s="297" t="s">
        <v>201</v>
      </c>
      <c r="L65" s="297" t="s">
        <v>1518</v>
      </c>
      <c r="M65" s="534"/>
      <c r="N65" s="292"/>
    </row>
    <row r="66" spans="1:14" s="568" customFormat="1" ht="150" customHeight="1">
      <c r="A66" s="536" t="s">
        <v>218</v>
      </c>
      <c r="B66" s="537" t="s">
        <v>287</v>
      </c>
      <c r="C66" s="538" t="s">
        <v>95</v>
      </c>
      <c r="D66" s="539">
        <v>323.12</v>
      </c>
      <c r="E66" s="545">
        <v>873.37</v>
      </c>
      <c r="F66" s="290">
        <f t="shared" si="9"/>
        <v>282203</v>
      </c>
      <c r="G66" s="581">
        <v>212.47</v>
      </c>
      <c r="H66" s="290">
        <f t="shared" si="10"/>
        <v>68653</v>
      </c>
      <c r="I66" s="573"/>
      <c r="J66" s="300">
        <f>D66*I66</f>
        <v>0</v>
      </c>
      <c r="K66" s="297" t="s">
        <v>201</v>
      </c>
      <c r="L66" s="297" t="s">
        <v>1519</v>
      </c>
      <c r="M66" s="534"/>
      <c r="N66" s="292"/>
    </row>
    <row r="67" spans="1:14" s="568" customFormat="1" ht="115.05" customHeight="1">
      <c r="A67" s="536" t="s">
        <v>220</v>
      </c>
      <c r="B67" s="537" t="s">
        <v>221</v>
      </c>
      <c r="C67" s="538" t="s">
        <v>164</v>
      </c>
      <c r="D67" s="539">
        <v>34265</v>
      </c>
      <c r="E67" s="545">
        <v>5.88</v>
      </c>
      <c r="F67" s="290">
        <f t="shared" si="9"/>
        <v>201478</v>
      </c>
      <c r="G67" s="581">
        <v>0.72</v>
      </c>
      <c r="H67" s="290">
        <f t="shared" si="10"/>
        <v>24671</v>
      </c>
      <c r="I67" s="573"/>
      <c r="J67" s="300">
        <f>D67*I67</f>
        <v>0</v>
      </c>
      <c r="K67" s="297" t="s">
        <v>165</v>
      </c>
      <c r="L67" s="297" t="s">
        <v>1512</v>
      </c>
      <c r="M67" s="534"/>
      <c r="N67" s="292"/>
    </row>
    <row r="68" spans="1:14" s="568" customFormat="1" ht="102" customHeight="1">
      <c r="A68" s="536" t="s">
        <v>222</v>
      </c>
      <c r="B68" s="537" t="s">
        <v>223</v>
      </c>
      <c r="C68" s="538" t="s">
        <v>164</v>
      </c>
      <c r="D68" s="539">
        <v>608</v>
      </c>
      <c r="E68" s="545">
        <v>11.05</v>
      </c>
      <c r="F68" s="290">
        <f t="shared" si="9"/>
        <v>6718</v>
      </c>
      <c r="G68" s="581">
        <v>9.09</v>
      </c>
      <c r="H68" s="290">
        <f t="shared" si="10"/>
        <v>5527</v>
      </c>
      <c r="I68" s="573"/>
      <c r="J68" s="300">
        <f>D68*I68</f>
        <v>0</v>
      </c>
      <c r="K68" s="297" t="s">
        <v>181</v>
      </c>
      <c r="L68" s="297" t="s">
        <v>224</v>
      </c>
      <c r="M68" s="579"/>
      <c r="N68" s="292"/>
    </row>
    <row r="69" spans="1:14" s="568" customFormat="1" ht="79.95" customHeight="1">
      <c r="A69" s="536" t="s">
        <v>225</v>
      </c>
      <c r="B69" s="537" t="s">
        <v>226</v>
      </c>
      <c r="C69" s="538" t="s">
        <v>164</v>
      </c>
      <c r="D69" s="539">
        <v>1899</v>
      </c>
      <c r="E69" s="545">
        <v>13.49</v>
      </c>
      <c r="F69" s="290">
        <f t="shared" si="9"/>
        <v>25618</v>
      </c>
      <c r="G69" s="581">
        <v>11</v>
      </c>
      <c r="H69" s="290">
        <f t="shared" si="10"/>
        <v>20889</v>
      </c>
      <c r="I69" s="573"/>
      <c r="J69" s="300">
        <f>D69*I69</f>
        <v>0</v>
      </c>
      <c r="K69" s="297" t="s">
        <v>227</v>
      </c>
      <c r="L69" s="297" t="s">
        <v>228</v>
      </c>
      <c r="M69" s="534"/>
      <c r="N69" s="292"/>
    </row>
    <row r="70" spans="1:14" s="568" customFormat="1">
      <c r="A70" s="536" t="s">
        <v>229</v>
      </c>
      <c r="B70" s="537" t="s">
        <v>230</v>
      </c>
      <c r="C70" s="538"/>
      <c r="D70" s="539"/>
      <c r="E70" s="545"/>
      <c r="F70" s="290"/>
      <c r="G70" s="581"/>
      <c r="H70" s="290"/>
      <c r="I70" s="574"/>
      <c r="J70" s="300"/>
      <c r="K70" s="297"/>
      <c r="L70" s="297"/>
      <c r="M70" s="534"/>
      <c r="N70" s="292"/>
    </row>
    <row r="71" spans="1:14" s="568" customFormat="1">
      <c r="A71" s="536" t="s">
        <v>231</v>
      </c>
      <c r="B71" s="537" t="s">
        <v>232</v>
      </c>
      <c r="C71" s="538"/>
      <c r="D71" s="539"/>
      <c r="E71" s="545"/>
      <c r="F71" s="290"/>
      <c r="G71" s="581"/>
      <c r="H71" s="290"/>
      <c r="I71" s="574"/>
      <c r="J71" s="300"/>
      <c r="K71" s="297"/>
      <c r="L71" s="297"/>
      <c r="M71" s="534"/>
      <c r="N71" s="292"/>
    </row>
    <row r="72" spans="1:14" s="568" customFormat="1">
      <c r="A72" s="536" t="s">
        <v>233</v>
      </c>
      <c r="B72" s="537" t="s">
        <v>234</v>
      </c>
      <c r="C72" s="538"/>
      <c r="D72" s="539"/>
      <c r="E72" s="545"/>
      <c r="F72" s="290"/>
      <c r="G72" s="581"/>
      <c r="H72" s="290"/>
      <c r="I72" s="574"/>
      <c r="J72" s="300"/>
      <c r="K72" s="297"/>
      <c r="L72" s="297"/>
      <c r="M72" s="579"/>
      <c r="N72" s="292"/>
    </row>
    <row r="73" spans="1:14" s="568" customFormat="1" ht="169.95" customHeight="1">
      <c r="A73" s="536" t="s">
        <v>235</v>
      </c>
      <c r="B73" s="537" t="s">
        <v>236</v>
      </c>
      <c r="C73" s="538" t="s">
        <v>113</v>
      </c>
      <c r="D73" s="539">
        <v>2933.3330000000001</v>
      </c>
      <c r="E73" s="545">
        <v>200.07</v>
      </c>
      <c r="F73" s="290">
        <f t="shared" ref="F73:F77" si="11">D73*E73</f>
        <v>586872</v>
      </c>
      <c r="G73" s="581">
        <v>17.86</v>
      </c>
      <c r="H73" s="290">
        <f t="shared" ref="H73:H77" si="12">G73*D73</f>
        <v>52389</v>
      </c>
      <c r="I73" s="573"/>
      <c r="J73" s="300">
        <f>D73*I73</f>
        <v>0</v>
      </c>
      <c r="K73" s="297" t="s">
        <v>237</v>
      </c>
      <c r="L73" s="297" t="s">
        <v>1520</v>
      </c>
      <c r="M73" s="534"/>
      <c r="N73" s="292"/>
    </row>
    <row r="74" spans="1:14" s="568" customFormat="1" ht="130.05000000000001" customHeight="1">
      <c r="A74" s="536" t="s">
        <v>240</v>
      </c>
      <c r="B74" s="537" t="s">
        <v>241</v>
      </c>
      <c r="C74" s="538" t="s">
        <v>164</v>
      </c>
      <c r="D74" s="539">
        <v>60234</v>
      </c>
      <c r="E74" s="545">
        <v>5.16</v>
      </c>
      <c r="F74" s="290">
        <f t="shared" si="11"/>
        <v>310807</v>
      </c>
      <c r="G74" s="581">
        <v>0.6</v>
      </c>
      <c r="H74" s="290">
        <f t="shared" si="12"/>
        <v>36140</v>
      </c>
      <c r="I74" s="573"/>
      <c r="J74" s="300">
        <f>D74*I74</f>
        <v>0</v>
      </c>
      <c r="K74" s="297" t="s">
        <v>242</v>
      </c>
      <c r="L74" s="297" t="s">
        <v>1514</v>
      </c>
      <c r="M74" s="534"/>
      <c r="N74" s="292"/>
    </row>
    <row r="75" spans="1:14" s="568" customFormat="1" ht="79.95" customHeight="1">
      <c r="A75" s="536" t="s">
        <v>243</v>
      </c>
      <c r="B75" s="537" t="s">
        <v>244</v>
      </c>
      <c r="C75" s="538" t="s">
        <v>95</v>
      </c>
      <c r="D75" s="539">
        <v>997</v>
      </c>
      <c r="E75" s="545">
        <v>151.91</v>
      </c>
      <c r="F75" s="290">
        <f t="shared" si="11"/>
        <v>151454</v>
      </c>
      <c r="G75" s="581">
        <v>82</v>
      </c>
      <c r="H75" s="290">
        <f t="shared" si="12"/>
        <v>81754</v>
      </c>
      <c r="I75" s="573"/>
      <c r="J75" s="300">
        <f>D75*I75</f>
        <v>0</v>
      </c>
      <c r="K75" s="297" t="s">
        <v>245</v>
      </c>
      <c r="L75" s="297" t="s">
        <v>246</v>
      </c>
      <c r="M75" s="579"/>
      <c r="N75" s="292"/>
    </row>
    <row r="76" spans="1:14" s="568" customFormat="1" ht="90" customHeight="1">
      <c r="A76" s="536" t="s">
        <v>247</v>
      </c>
      <c r="B76" s="537" t="s">
        <v>248</v>
      </c>
      <c r="C76" s="538" t="s">
        <v>95</v>
      </c>
      <c r="D76" s="539">
        <v>2463</v>
      </c>
      <c r="E76" s="545">
        <v>56.92</v>
      </c>
      <c r="F76" s="290">
        <f t="shared" si="11"/>
        <v>140194</v>
      </c>
      <c r="G76" s="581">
        <v>20</v>
      </c>
      <c r="H76" s="290">
        <f t="shared" si="12"/>
        <v>49260</v>
      </c>
      <c r="I76" s="573"/>
      <c r="J76" s="300">
        <f>D76*I76</f>
        <v>0</v>
      </c>
      <c r="K76" s="297" t="s">
        <v>103</v>
      </c>
      <c r="L76" s="297" t="s">
        <v>104</v>
      </c>
      <c r="M76" s="579"/>
      <c r="N76" s="292"/>
    </row>
    <row r="77" spans="1:14" s="568" customFormat="1" ht="79.95" customHeight="1">
      <c r="A77" s="536" t="s">
        <v>249</v>
      </c>
      <c r="B77" s="537" t="s">
        <v>250</v>
      </c>
      <c r="C77" s="538" t="s">
        <v>95</v>
      </c>
      <c r="D77" s="539">
        <v>1466</v>
      </c>
      <c r="E77" s="545">
        <v>15.03</v>
      </c>
      <c r="F77" s="290">
        <f t="shared" si="11"/>
        <v>22034</v>
      </c>
      <c r="G77" s="581">
        <v>13</v>
      </c>
      <c r="H77" s="290">
        <f t="shared" si="12"/>
        <v>19058</v>
      </c>
      <c r="I77" s="573"/>
      <c r="J77" s="300">
        <f>D77*I77</f>
        <v>0</v>
      </c>
      <c r="K77" s="297" t="s">
        <v>251</v>
      </c>
      <c r="L77" s="297" t="s">
        <v>246</v>
      </c>
      <c r="M77" s="534"/>
      <c r="N77" s="292"/>
    </row>
    <row r="78" spans="1:14" s="568" customFormat="1">
      <c r="A78" s="541">
        <v>600</v>
      </c>
      <c r="B78" s="542" t="s">
        <v>252</v>
      </c>
      <c r="C78" s="538"/>
      <c r="D78" s="543"/>
      <c r="E78" s="582"/>
      <c r="F78" s="288"/>
      <c r="G78" s="582"/>
      <c r="H78" s="288"/>
      <c r="I78" s="567"/>
      <c r="J78" s="293"/>
      <c r="K78" s="294"/>
      <c r="L78" s="294"/>
      <c r="M78" s="579"/>
      <c r="N78" s="292"/>
    </row>
    <row r="79" spans="1:14" s="568" customFormat="1" ht="13.2">
      <c r="A79" s="536">
        <v>605</v>
      </c>
      <c r="B79" s="537" t="s">
        <v>253</v>
      </c>
      <c r="C79" s="538"/>
      <c r="D79" s="545"/>
      <c r="E79" s="603"/>
      <c r="F79" s="288"/>
      <c r="G79" s="582"/>
      <c r="H79" s="288"/>
      <c r="I79" s="567"/>
      <c r="J79" s="293"/>
      <c r="K79" s="294"/>
      <c r="L79" s="294"/>
      <c r="M79" s="579"/>
      <c r="N79" s="292"/>
    </row>
    <row r="80" spans="1:14" s="568" customFormat="1" ht="13.2">
      <c r="A80" s="536" t="s">
        <v>254</v>
      </c>
      <c r="B80" s="537" t="s">
        <v>255</v>
      </c>
      <c r="C80" s="538"/>
      <c r="D80" s="545"/>
      <c r="E80" s="603"/>
      <c r="F80" s="288"/>
      <c r="G80" s="582"/>
      <c r="H80" s="288"/>
      <c r="I80" s="567"/>
      <c r="J80" s="293"/>
      <c r="K80" s="294"/>
      <c r="L80" s="294"/>
      <c r="M80" s="579"/>
      <c r="N80" s="292"/>
    </row>
    <row r="81" spans="1:14" s="568" customFormat="1" ht="79.95" customHeight="1">
      <c r="A81" s="536" t="s">
        <v>256</v>
      </c>
      <c r="B81" s="537" t="s">
        <v>257</v>
      </c>
      <c r="C81" s="538" t="s">
        <v>113</v>
      </c>
      <c r="D81" s="539">
        <v>160.19999999999999</v>
      </c>
      <c r="E81" s="545">
        <v>43.81</v>
      </c>
      <c r="F81" s="290">
        <f t="shared" ref="F81" si="13">D81*E81</f>
        <v>7018</v>
      </c>
      <c r="G81" s="581">
        <v>32.68</v>
      </c>
      <c r="H81" s="290">
        <f>G81*D81</f>
        <v>5235</v>
      </c>
      <c r="I81" s="573"/>
      <c r="J81" s="300">
        <f>D81*I81</f>
        <v>0</v>
      </c>
      <c r="K81" s="297" t="s">
        <v>258</v>
      </c>
      <c r="L81" s="297" t="s">
        <v>259</v>
      </c>
      <c r="M81" s="579"/>
      <c r="N81" s="292"/>
    </row>
    <row r="82" spans="1:14" s="576" customFormat="1" ht="23.1" customHeight="1">
      <c r="A82" s="583" t="s">
        <v>260</v>
      </c>
      <c r="B82" s="584"/>
      <c r="C82" s="530"/>
      <c r="D82" s="531"/>
      <c r="E82" s="598"/>
      <c r="F82" s="348">
        <f t="shared" ref="F82:J82" si="14">SUM(F6:F81)</f>
        <v>8246006</v>
      </c>
      <c r="G82" s="585"/>
      <c r="H82" s="348">
        <f t="shared" si="14"/>
        <v>3553737</v>
      </c>
      <c r="I82" s="575"/>
      <c r="J82" s="348">
        <f t="shared" si="14"/>
        <v>66212</v>
      </c>
      <c r="K82" s="349"/>
      <c r="L82" s="349"/>
      <c r="M82" s="580"/>
      <c r="N82" s="350"/>
    </row>
  </sheetData>
  <sheetProtection algorithmName="SHA-512" hashValue="kHlSlysqfkIljGgcrRc7E5xVJ2vIZrZJtSJacl1X+c0S/j/nwIGB5r3pi6OMxqRzhH4lk/dlBnOlJ67eI1ABGA==" saltValue="wvo3kW72Mcm7w66UPZz99w==" spinCount="100000" sheet="1" objects="1" scenarios="1"/>
  <mergeCells count="16">
    <mergeCell ref="A1:M1"/>
    <mergeCell ref="A2:I2"/>
    <mergeCell ref="A82:B82"/>
    <mergeCell ref="A4:A5"/>
    <mergeCell ref="B4:B5"/>
    <mergeCell ref="C4:C5"/>
    <mergeCell ref="D4:D5"/>
    <mergeCell ref="E4:E5"/>
    <mergeCell ref="F4:F5"/>
    <mergeCell ref="G4:G5"/>
    <mergeCell ref="H4:H5"/>
    <mergeCell ref="I4:I5"/>
    <mergeCell ref="J4:J5"/>
    <mergeCell ref="K4:K5"/>
    <mergeCell ref="L4:L5"/>
    <mergeCell ref="M4:M5"/>
  </mergeCells>
  <phoneticPr fontId="98" type="noConversion"/>
  <conditionalFormatting sqref="M3 C6:C78 O2:IO82 A7:B15">
    <cfRule type="cellIs" dxfId="132" priority="8" operator="equal">
      <formula>0</formula>
    </cfRule>
  </conditionalFormatting>
  <conditionalFormatting sqref="M21">
    <cfRule type="cellIs" dxfId="131" priority="29" operator="equal">
      <formula>0</formula>
    </cfRule>
  </conditionalFormatting>
  <conditionalFormatting sqref="M35">
    <cfRule type="cellIs" dxfId="130" priority="28" operator="equal">
      <formula>0</formula>
    </cfRule>
  </conditionalFormatting>
  <conditionalFormatting sqref="M41">
    <cfRule type="cellIs" dxfId="129" priority="27" operator="equal">
      <formula>0</formula>
    </cfRule>
  </conditionalFormatting>
  <conditionalFormatting sqref="M43">
    <cfRule type="cellIs" dxfId="128" priority="26" operator="equal">
      <formula>0</formula>
    </cfRule>
  </conditionalFormatting>
  <conditionalFormatting sqref="M45">
    <cfRule type="cellIs" dxfId="127" priority="25" operator="equal">
      <formula>0</formula>
    </cfRule>
  </conditionalFormatting>
  <conditionalFormatting sqref="M51">
    <cfRule type="cellIs" dxfId="126" priority="17" operator="equal">
      <formula>0</formula>
    </cfRule>
  </conditionalFormatting>
  <conditionalFormatting sqref="M55">
    <cfRule type="cellIs" dxfId="125" priority="16" operator="equal">
      <formula>0</formula>
    </cfRule>
  </conditionalFormatting>
  <conditionalFormatting sqref="M57">
    <cfRule type="cellIs" dxfId="124" priority="15" operator="equal">
      <formula>0</formula>
    </cfRule>
  </conditionalFormatting>
  <conditionalFormatting sqref="M59">
    <cfRule type="cellIs" dxfId="123" priority="14" operator="equal">
      <formula>0</formula>
    </cfRule>
  </conditionalFormatting>
  <conditionalFormatting sqref="M65">
    <cfRule type="cellIs" dxfId="122" priority="12" operator="equal">
      <formula>0</formula>
    </cfRule>
  </conditionalFormatting>
  <conditionalFormatting sqref="M66">
    <cfRule type="cellIs" dxfId="121" priority="13" operator="equal">
      <formula>0</formula>
    </cfRule>
  </conditionalFormatting>
  <conditionalFormatting sqref="M67">
    <cfRule type="cellIs" dxfId="120" priority="11" operator="equal">
      <formula>0</formula>
    </cfRule>
  </conditionalFormatting>
  <conditionalFormatting sqref="M69">
    <cfRule type="cellIs" dxfId="119" priority="23" operator="equal">
      <formula>0</formula>
    </cfRule>
  </conditionalFormatting>
  <conditionalFormatting sqref="M70">
    <cfRule type="cellIs" dxfId="118" priority="22" operator="equal">
      <formula>0</formula>
    </cfRule>
  </conditionalFormatting>
  <conditionalFormatting sqref="M71">
    <cfRule type="cellIs" dxfId="117" priority="21" operator="equal">
      <formula>0</formula>
    </cfRule>
  </conditionalFormatting>
  <conditionalFormatting sqref="M73">
    <cfRule type="cellIs" dxfId="116" priority="10" operator="equal">
      <formula>0</formula>
    </cfRule>
  </conditionalFormatting>
  <conditionalFormatting sqref="M74">
    <cfRule type="cellIs" dxfId="115" priority="9" operator="equal">
      <formula>0</formula>
    </cfRule>
  </conditionalFormatting>
  <conditionalFormatting sqref="M77">
    <cfRule type="cellIs" dxfId="114" priority="19" operator="equal">
      <formula>0</formula>
    </cfRule>
  </conditionalFormatting>
  <conditionalFormatting sqref="C79:C81">
    <cfRule type="cellIs" dxfId="113" priority="18" operator="equal">
      <formula>0</formula>
    </cfRule>
  </conditionalFormatting>
  <conditionalFormatting sqref="A3:L3 A4:D4 A5:C5 C82 A2 J2:L2">
    <cfRule type="cellIs" dxfId="112" priority="32" operator="equal">
      <formula>0</formula>
    </cfRule>
  </conditionalFormatting>
  <conditionalFormatting sqref="M2:N2 M4:N4 N3">
    <cfRule type="cellIs" dxfId="111" priority="31" operator="equal">
      <formula>0</formula>
    </cfRule>
  </conditionalFormatting>
  <conditionalFormatting sqref="M47:M50 M52:M54 M56 M58 M60:M63">
    <cfRule type="cellIs" dxfId="110" priority="24" operator="equal">
      <formula>0</formula>
    </cfRule>
  </conditionalFormatting>
  <conditionalFormatting sqref="N1:IF1">
    <cfRule type="cellIs" dxfId="109" priority="1" operator="equal">
      <formula>0</formula>
    </cfRule>
  </conditionalFormatting>
  <conditionalFormatting sqref="A1">
    <cfRule type="cellIs" dxfId="108" priority="2" operator="equal">
      <formula>0</formula>
    </cfRule>
  </conditionalFormatting>
  <printOptions horizontalCentered="1"/>
  <pageMargins left="0.31496062992126" right="0.31496062992126" top="0.74803149606299202" bottom="0.74803149606299202" header="0.31496062992126" footer="0.31496062992126"/>
  <pageSetup paperSize="9" scale="64" fitToHeight="0"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78"/>
  <sheetViews>
    <sheetView zoomScale="40" zoomScaleNormal="40" workbookViewId="0">
      <selection activeCellId="14" sqref="J70:M78 A70:H78 J61:M69 A61:H69 J51:M60 A51:H60 J45:M50 A45:H50 J33:M44 A33:H44 J22:M32 A22:H32 J10:M21 A10:H21 A1:M9"/>
    </sheetView>
  </sheetViews>
  <sheetFormatPr defaultColWidth="9.109375" defaultRowHeight="12"/>
  <cols>
    <col min="1" max="1" width="21" style="498" customWidth="1"/>
    <col min="2" max="2" width="27" style="498" customWidth="1"/>
    <col min="3" max="3" width="6.33203125" style="566" customWidth="1"/>
    <col min="4" max="4" width="9.77734375" style="577" customWidth="1"/>
    <col min="5" max="5" width="9.6640625" style="498" hidden="1" customWidth="1"/>
    <col min="6" max="6" width="14.5546875" style="498" hidden="1" customWidth="1"/>
    <col min="7" max="7" width="11.109375" style="498" customWidth="1"/>
    <col min="8" max="8" width="15.77734375" style="498" customWidth="1"/>
    <col min="9" max="9" width="12.88671875" style="498" customWidth="1"/>
    <col min="10" max="10" width="15.77734375" style="498" customWidth="1"/>
    <col min="11" max="11" width="25.77734375" style="565" customWidth="1"/>
    <col min="12" max="12" width="64.21875" style="565" customWidth="1"/>
    <col min="13" max="13" width="19.77734375" style="566" customWidth="1"/>
    <col min="14" max="14" width="9.109375" style="498"/>
    <col min="15" max="16" width="11.33203125" style="498" customWidth="1"/>
    <col min="17" max="17" width="25" style="498" customWidth="1"/>
    <col min="18" max="16384" width="9.109375" style="498"/>
  </cols>
  <sheetData>
    <row r="1" spans="1:13" s="495" customFormat="1" ht="55.8" customHeight="1">
      <c r="A1" s="499" t="s">
        <v>1527</v>
      </c>
      <c r="B1" s="499"/>
      <c r="C1" s="499"/>
      <c r="D1" s="499"/>
      <c r="E1" s="499"/>
      <c r="F1" s="499"/>
      <c r="G1" s="499"/>
      <c r="H1" s="499"/>
      <c r="I1" s="549"/>
      <c r="J1" s="499"/>
      <c r="K1" s="499"/>
      <c r="L1" s="499"/>
      <c r="M1" s="499"/>
    </row>
    <row r="2" spans="1:13" ht="18.75" customHeight="1">
      <c r="A2" s="550" t="s">
        <v>288</v>
      </c>
      <c r="B2" s="550"/>
      <c r="C2" s="550"/>
      <c r="D2" s="550"/>
      <c r="E2" s="550"/>
      <c r="F2" s="550"/>
      <c r="G2" s="550"/>
      <c r="H2" s="550"/>
      <c r="I2" s="587"/>
      <c r="J2" s="588"/>
      <c r="K2" s="589"/>
      <c r="L2" s="589"/>
      <c r="M2" s="590"/>
    </row>
    <row r="3" spans="1:13" ht="18.75" customHeight="1">
      <c r="A3" s="591" t="s">
        <v>55</v>
      </c>
      <c r="B3" s="591"/>
      <c r="C3" s="592"/>
      <c r="D3" s="593"/>
      <c r="E3" s="591"/>
      <c r="F3" s="594"/>
      <c r="G3" s="594"/>
      <c r="H3" s="594"/>
      <c r="I3" s="595"/>
      <c r="J3" s="594"/>
      <c r="K3" s="591"/>
      <c r="L3" s="591"/>
      <c r="M3" s="503" t="s">
        <v>39</v>
      </c>
    </row>
    <row r="4" spans="1:13" ht="20.100000000000001" customHeight="1">
      <c r="A4" s="378" t="s">
        <v>56</v>
      </c>
      <c r="B4" s="380" t="s">
        <v>57</v>
      </c>
      <c r="C4" s="380" t="s">
        <v>58</v>
      </c>
      <c r="D4" s="557" t="s">
        <v>59</v>
      </c>
      <c r="E4" s="558" t="s">
        <v>60</v>
      </c>
      <c r="F4" s="380" t="s">
        <v>61</v>
      </c>
      <c r="G4" s="558" t="s">
        <v>1528</v>
      </c>
      <c r="H4" s="371" t="s">
        <v>1529</v>
      </c>
      <c r="I4" s="375" t="s">
        <v>1530</v>
      </c>
      <c r="J4" s="377" t="s">
        <v>1531</v>
      </c>
      <c r="K4" s="377" t="s">
        <v>62</v>
      </c>
      <c r="L4" s="377" t="s">
        <v>63</v>
      </c>
      <c r="M4" s="600" t="s">
        <v>12</v>
      </c>
    </row>
    <row r="5" spans="1:13" ht="20.100000000000001" customHeight="1">
      <c r="A5" s="379"/>
      <c r="B5" s="381"/>
      <c r="C5" s="381"/>
      <c r="D5" s="560"/>
      <c r="E5" s="561"/>
      <c r="F5" s="381"/>
      <c r="G5" s="561"/>
      <c r="H5" s="372"/>
      <c r="I5" s="376"/>
      <c r="J5" s="376"/>
      <c r="K5" s="376"/>
      <c r="L5" s="376"/>
      <c r="M5" s="601"/>
    </row>
    <row r="6" spans="1:13" s="568" customFormat="1">
      <c r="A6" s="541">
        <v>100</v>
      </c>
      <c r="B6" s="542" t="s">
        <v>64</v>
      </c>
      <c r="C6" s="288"/>
      <c r="D6" s="543"/>
      <c r="E6" s="582"/>
      <c r="F6" s="288"/>
      <c r="G6" s="582"/>
      <c r="H6" s="288"/>
      <c r="I6" s="293"/>
      <c r="J6" s="293"/>
      <c r="K6" s="294"/>
      <c r="L6" s="294"/>
      <c r="M6" s="579"/>
    </row>
    <row r="7" spans="1:13" s="568" customFormat="1">
      <c r="A7" s="536">
        <v>102</v>
      </c>
      <c r="B7" s="537" t="s">
        <v>66</v>
      </c>
      <c r="C7" s="538"/>
      <c r="D7" s="539"/>
      <c r="E7" s="545"/>
      <c r="F7" s="288"/>
      <c r="G7" s="582"/>
      <c r="H7" s="288"/>
      <c r="I7" s="293"/>
      <c r="J7" s="293"/>
      <c r="K7" s="294"/>
      <c r="L7" s="294"/>
      <c r="M7" s="579"/>
    </row>
    <row r="8" spans="1:13" s="568" customFormat="1" ht="70.05" customHeight="1">
      <c r="A8" s="536" t="s">
        <v>67</v>
      </c>
      <c r="B8" s="537" t="s">
        <v>68</v>
      </c>
      <c r="C8" s="538" t="s">
        <v>65</v>
      </c>
      <c r="D8" s="539">
        <v>1</v>
      </c>
      <c r="E8" s="545" t="s">
        <v>289</v>
      </c>
      <c r="F8" s="290">
        <f>D8*E8</f>
        <v>8272</v>
      </c>
      <c r="G8" s="596">
        <v>3610</v>
      </c>
      <c r="H8" s="290">
        <f t="shared" ref="H8:H9" si="0">G8*D8</f>
        <v>3610</v>
      </c>
      <c r="I8" s="596">
        <v>3610</v>
      </c>
      <c r="J8" s="300">
        <f>D8*I8</f>
        <v>3610</v>
      </c>
      <c r="K8" s="296" t="s">
        <v>69</v>
      </c>
      <c r="L8" s="297" t="s">
        <v>70</v>
      </c>
      <c r="M8" s="578"/>
    </row>
    <row r="9" spans="1:13" s="568" customFormat="1" ht="130.05000000000001" customHeight="1">
      <c r="A9" s="536" t="s">
        <v>71</v>
      </c>
      <c r="B9" s="537" t="s">
        <v>72</v>
      </c>
      <c r="C9" s="538" t="s">
        <v>65</v>
      </c>
      <c r="D9" s="539">
        <v>1</v>
      </c>
      <c r="E9" s="545" t="s">
        <v>290</v>
      </c>
      <c r="F9" s="290">
        <f>D9*E9</f>
        <v>45997</v>
      </c>
      <c r="G9" s="596">
        <v>14253</v>
      </c>
      <c r="H9" s="290">
        <f t="shared" si="0"/>
        <v>14253</v>
      </c>
      <c r="I9" s="596">
        <v>14253</v>
      </c>
      <c r="J9" s="300">
        <f>D9*I9</f>
        <v>14253</v>
      </c>
      <c r="K9" s="296" t="s">
        <v>1536</v>
      </c>
      <c r="L9" s="297" t="s">
        <v>73</v>
      </c>
      <c r="M9" s="578"/>
    </row>
    <row r="10" spans="1:13" s="568" customFormat="1">
      <c r="A10" s="536" t="s">
        <v>74</v>
      </c>
      <c r="B10" s="537" t="s">
        <v>75</v>
      </c>
      <c r="C10" s="538"/>
      <c r="D10" s="539"/>
      <c r="E10" s="545"/>
      <c r="F10" s="288"/>
      <c r="G10" s="582"/>
      <c r="H10" s="288"/>
      <c r="I10" s="569"/>
      <c r="J10" s="293"/>
      <c r="K10" s="294"/>
      <c r="L10" s="294"/>
      <c r="M10" s="579"/>
    </row>
    <row r="11" spans="1:13" s="568" customFormat="1" ht="115.95" customHeight="1">
      <c r="A11" s="536" t="s">
        <v>76</v>
      </c>
      <c r="B11" s="537" t="s">
        <v>77</v>
      </c>
      <c r="C11" s="538" t="s">
        <v>78</v>
      </c>
      <c r="D11" s="539">
        <v>60</v>
      </c>
      <c r="E11" s="545" t="s">
        <v>291</v>
      </c>
      <c r="F11" s="290">
        <f>D11*E11</f>
        <v>44668</v>
      </c>
      <c r="G11" s="547">
        <v>530</v>
      </c>
      <c r="H11" s="290">
        <f>G11*D11</f>
        <v>31800</v>
      </c>
      <c r="I11" s="570"/>
      <c r="J11" s="300">
        <f>D11*I11</f>
        <v>0</v>
      </c>
      <c r="K11" s="297" t="s">
        <v>79</v>
      </c>
      <c r="L11" s="296" t="s">
        <v>1511</v>
      </c>
      <c r="M11" s="579"/>
    </row>
    <row r="12" spans="1:13" s="568" customFormat="1">
      <c r="A12" s="536">
        <v>104</v>
      </c>
      <c r="B12" s="537" t="s">
        <v>81</v>
      </c>
      <c r="C12" s="538"/>
      <c r="D12" s="539"/>
      <c r="E12" s="545"/>
      <c r="F12" s="288"/>
      <c r="G12" s="582"/>
      <c r="H12" s="288"/>
      <c r="I12" s="569"/>
      <c r="J12" s="293"/>
      <c r="K12" s="297"/>
      <c r="L12" s="294"/>
      <c r="M12" s="579"/>
    </row>
    <row r="13" spans="1:13" s="568" customFormat="1" ht="24">
      <c r="A13" s="536" t="s">
        <v>82</v>
      </c>
      <c r="B13" s="537" t="s">
        <v>83</v>
      </c>
      <c r="C13" s="538" t="s">
        <v>65</v>
      </c>
      <c r="D13" s="539">
        <v>1</v>
      </c>
      <c r="E13" s="545" t="s">
        <v>292</v>
      </c>
      <c r="F13" s="290">
        <f>D13*E13</f>
        <v>10000</v>
      </c>
      <c r="G13" s="547">
        <v>5000</v>
      </c>
      <c r="H13" s="290">
        <f>G13*D13</f>
        <v>5000</v>
      </c>
      <c r="I13" s="570"/>
      <c r="J13" s="300">
        <f>D13*I13</f>
        <v>0</v>
      </c>
      <c r="K13" s="296" t="s">
        <v>69</v>
      </c>
      <c r="L13" s="296" t="s">
        <v>84</v>
      </c>
      <c r="M13" s="579"/>
    </row>
    <row r="14" spans="1:13" s="568" customFormat="1">
      <c r="A14" s="536">
        <v>109</v>
      </c>
      <c r="B14" s="537" t="s">
        <v>85</v>
      </c>
      <c r="C14" s="538"/>
      <c r="D14" s="539"/>
      <c r="E14" s="545"/>
      <c r="F14" s="288"/>
      <c r="G14" s="582"/>
      <c r="H14" s="288"/>
      <c r="I14" s="569"/>
      <c r="J14" s="293"/>
      <c r="K14" s="296"/>
      <c r="L14" s="294"/>
      <c r="M14" s="579"/>
    </row>
    <row r="15" spans="1:13" s="568" customFormat="1" ht="60">
      <c r="A15" s="536" t="s">
        <v>86</v>
      </c>
      <c r="B15" s="537" t="s">
        <v>85</v>
      </c>
      <c r="C15" s="538" t="s">
        <v>65</v>
      </c>
      <c r="D15" s="539">
        <v>1</v>
      </c>
      <c r="E15" s="545" t="s">
        <v>293</v>
      </c>
      <c r="F15" s="290">
        <f>D15*E15</f>
        <v>16545</v>
      </c>
      <c r="G15" s="547">
        <v>7221</v>
      </c>
      <c r="H15" s="290">
        <f>G15*D15</f>
        <v>7221</v>
      </c>
      <c r="I15" s="523"/>
      <c r="J15" s="300">
        <f>D15*I15</f>
        <v>0</v>
      </c>
      <c r="K15" s="296" t="s">
        <v>69</v>
      </c>
      <c r="L15" s="296" t="s">
        <v>1540</v>
      </c>
      <c r="M15" s="579"/>
    </row>
    <row r="16" spans="1:13" s="568" customFormat="1">
      <c r="A16" s="541">
        <v>300</v>
      </c>
      <c r="B16" s="542" t="s">
        <v>87</v>
      </c>
      <c r="C16" s="538"/>
      <c r="D16" s="543"/>
      <c r="E16" s="582"/>
      <c r="F16" s="288"/>
      <c r="G16" s="582"/>
      <c r="H16" s="288"/>
      <c r="I16" s="567"/>
      <c r="J16" s="293"/>
      <c r="K16" s="294"/>
      <c r="L16" s="294"/>
      <c r="M16" s="579"/>
    </row>
    <row r="17" spans="1:13" s="568" customFormat="1">
      <c r="A17" s="536">
        <v>303</v>
      </c>
      <c r="B17" s="537" t="s">
        <v>88</v>
      </c>
      <c r="C17" s="538"/>
      <c r="D17" s="545"/>
      <c r="E17" s="545"/>
      <c r="F17" s="288"/>
      <c r="G17" s="582"/>
      <c r="H17" s="288"/>
      <c r="I17" s="567"/>
      <c r="J17" s="293"/>
      <c r="K17" s="294"/>
      <c r="L17" s="294"/>
      <c r="M17" s="579"/>
    </row>
    <row r="18" spans="1:13" s="568" customFormat="1">
      <c r="A18" s="536" t="s">
        <v>89</v>
      </c>
      <c r="B18" s="537" t="s">
        <v>90</v>
      </c>
      <c r="C18" s="538"/>
      <c r="D18" s="545"/>
      <c r="E18" s="545"/>
      <c r="F18" s="288"/>
      <c r="G18" s="582"/>
      <c r="H18" s="288"/>
      <c r="I18" s="567"/>
      <c r="J18" s="293"/>
      <c r="K18" s="294"/>
      <c r="L18" s="294"/>
      <c r="M18" s="579"/>
    </row>
    <row r="19" spans="1:13" s="568" customFormat="1">
      <c r="A19" s="536" t="s">
        <v>91</v>
      </c>
      <c r="B19" s="537" t="s">
        <v>92</v>
      </c>
      <c r="C19" s="538"/>
      <c r="D19" s="545"/>
      <c r="E19" s="545"/>
      <c r="F19" s="288"/>
      <c r="G19" s="582"/>
      <c r="H19" s="288"/>
      <c r="I19" s="567"/>
      <c r="J19" s="293"/>
      <c r="K19" s="294"/>
      <c r="L19" s="294"/>
      <c r="M19" s="579"/>
    </row>
    <row r="20" spans="1:13" s="568" customFormat="1" ht="94.05" customHeight="1">
      <c r="A20" s="536" t="s">
        <v>93</v>
      </c>
      <c r="B20" s="537" t="s">
        <v>94</v>
      </c>
      <c r="C20" s="538" t="s">
        <v>95</v>
      </c>
      <c r="D20" s="539">
        <v>20</v>
      </c>
      <c r="E20" s="545">
        <v>156.84</v>
      </c>
      <c r="F20" s="290">
        <f t="shared" ref="F20:F22" si="1">D20*E20</f>
        <v>3137</v>
      </c>
      <c r="G20" s="581">
        <v>82</v>
      </c>
      <c r="H20" s="290">
        <f t="shared" ref="H20:H22" si="2">G20*D20</f>
        <v>1640</v>
      </c>
      <c r="I20" s="573"/>
      <c r="J20" s="300">
        <f>D20*I20</f>
        <v>0</v>
      </c>
      <c r="K20" s="297" t="s">
        <v>96</v>
      </c>
      <c r="L20" s="297" t="s">
        <v>97</v>
      </c>
      <c r="M20" s="579"/>
    </row>
    <row r="21" spans="1:13" s="568" customFormat="1" ht="130.05000000000001" customHeight="1">
      <c r="A21" s="536" t="s">
        <v>98</v>
      </c>
      <c r="B21" s="537" t="s">
        <v>99</v>
      </c>
      <c r="C21" s="538" t="s">
        <v>95</v>
      </c>
      <c r="D21" s="539">
        <v>20</v>
      </c>
      <c r="E21" s="545">
        <v>747.15</v>
      </c>
      <c r="F21" s="290">
        <f t="shared" si="1"/>
        <v>14943</v>
      </c>
      <c r="G21" s="581">
        <v>49.07</v>
      </c>
      <c r="H21" s="290">
        <f t="shared" si="2"/>
        <v>981</v>
      </c>
      <c r="I21" s="573"/>
      <c r="J21" s="300">
        <f>D21*I21</f>
        <v>0</v>
      </c>
      <c r="K21" s="297" t="s">
        <v>100</v>
      </c>
      <c r="L21" s="297" t="s">
        <v>1521</v>
      </c>
      <c r="M21" s="534"/>
    </row>
    <row r="22" spans="1:13" s="568" customFormat="1" ht="79.95" customHeight="1">
      <c r="A22" s="536" t="s">
        <v>101</v>
      </c>
      <c r="B22" s="537" t="s">
        <v>102</v>
      </c>
      <c r="C22" s="538" t="s">
        <v>95</v>
      </c>
      <c r="D22" s="539">
        <v>20</v>
      </c>
      <c r="E22" s="545">
        <v>38.04</v>
      </c>
      <c r="F22" s="290">
        <f t="shared" si="1"/>
        <v>761</v>
      </c>
      <c r="G22" s="581">
        <v>20</v>
      </c>
      <c r="H22" s="290">
        <f t="shared" si="2"/>
        <v>400</v>
      </c>
      <c r="I22" s="573"/>
      <c r="J22" s="300">
        <f>D22*I22</f>
        <v>0</v>
      </c>
      <c r="K22" s="297" t="s">
        <v>103</v>
      </c>
      <c r="L22" s="297" t="s">
        <v>104</v>
      </c>
      <c r="M22" s="579"/>
    </row>
    <row r="23" spans="1:13" s="568" customFormat="1">
      <c r="A23" s="536" t="s">
        <v>105</v>
      </c>
      <c r="B23" s="537" t="s">
        <v>106</v>
      </c>
      <c r="C23" s="538"/>
      <c r="D23" s="539"/>
      <c r="E23" s="545"/>
      <c r="F23" s="290"/>
      <c r="G23" s="581"/>
      <c r="H23" s="290"/>
      <c r="I23" s="574"/>
      <c r="J23" s="300"/>
      <c r="K23" s="297"/>
      <c r="L23" s="297"/>
      <c r="M23" s="579"/>
    </row>
    <row r="24" spans="1:13" s="568" customFormat="1">
      <c r="A24" s="536" t="s">
        <v>107</v>
      </c>
      <c r="B24" s="537" t="s">
        <v>108</v>
      </c>
      <c r="C24" s="538"/>
      <c r="D24" s="539"/>
      <c r="E24" s="545"/>
      <c r="F24" s="290"/>
      <c r="G24" s="581"/>
      <c r="H24" s="290"/>
      <c r="I24" s="574"/>
      <c r="J24" s="300"/>
      <c r="K24" s="297"/>
      <c r="L24" s="297"/>
      <c r="M24" s="579"/>
    </row>
    <row r="25" spans="1:13" s="568" customFormat="1">
      <c r="A25" s="536" t="s">
        <v>109</v>
      </c>
      <c r="B25" s="537" t="s">
        <v>110</v>
      </c>
      <c r="C25" s="538"/>
      <c r="D25" s="539"/>
      <c r="E25" s="545"/>
      <c r="F25" s="290"/>
      <c r="G25" s="581"/>
      <c r="H25" s="290"/>
      <c r="I25" s="574"/>
      <c r="J25" s="300"/>
      <c r="K25" s="297"/>
      <c r="L25" s="297"/>
      <c r="M25" s="579"/>
    </row>
    <row r="26" spans="1:13" s="568" customFormat="1" ht="118.05" customHeight="1">
      <c r="A26" s="536" t="s">
        <v>111</v>
      </c>
      <c r="B26" s="537" t="s">
        <v>112</v>
      </c>
      <c r="C26" s="538" t="s">
        <v>113</v>
      </c>
      <c r="D26" s="539">
        <v>683.33299999999997</v>
      </c>
      <c r="E26" s="545">
        <v>75.78</v>
      </c>
      <c r="F26" s="290">
        <f>D26*E26</f>
        <v>51783</v>
      </c>
      <c r="G26" s="581">
        <v>57.2</v>
      </c>
      <c r="H26" s="290">
        <f>G26*D26</f>
        <v>39087</v>
      </c>
      <c r="I26" s="573"/>
      <c r="J26" s="300">
        <f>D26*I26</f>
        <v>0</v>
      </c>
      <c r="K26" s="297" t="s">
        <v>114</v>
      </c>
      <c r="L26" s="297" t="s">
        <v>115</v>
      </c>
      <c r="M26" s="579"/>
    </row>
    <row r="27" spans="1:13" s="568" customFormat="1">
      <c r="A27" s="536" t="s">
        <v>116</v>
      </c>
      <c r="B27" s="537" t="s">
        <v>117</v>
      </c>
      <c r="C27" s="538"/>
      <c r="D27" s="539"/>
      <c r="E27" s="545"/>
      <c r="F27" s="288"/>
      <c r="G27" s="582"/>
      <c r="H27" s="288"/>
      <c r="I27" s="567"/>
      <c r="J27" s="293"/>
      <c r="K27" s="294"/>
      <c r="L27" s="294"/>
      <c r="M27" s="579"/>
    </row>
    <row r="28" spans="1:13" s="568" customFormat="1" ht="24">
      <c r="A28" s="536" t="s">
        <v>118</v>
      </c>
      <c r="B28" s="537" t="s">
        <v>119</v>
      </c>
      <c r="C28" s="538"/>
      <c r="D28" s="539"/>
      <c r="E28" s="545"/>
      <c r="F28" s="288"/>
      <c r="G28" s="582"/>
      <c r="H28" s="288"/>
      <c r="I28" s="567"/>
      <c r="J28" s="293"/>
      <c r="K28" s="294"/>
      <c r="L28" s="294"/>
      <c r="M28" s="579"/>
    </row>
    <row r="29" spans="1:13" s="568" customFormat="1" ht="118.05" customHeight="1">
      <c r="A29" s="536" t="s">
        <v>120</v>
      </c>
      <c r="B29" s="537" t="s">
        <v>121</v>
      </c>
      <c r="C29" s="538" t="s">
        <v>113</v>
      </c>
      <c r="D29" s="539">
        <v>675</v>
      </c>
      <c r="E29" s="545">
        <v>63.15</v>
      </c>
      <c r="F29" s="290">
        <f>D29*E29</f>
        <v>42626</v>
      </c>
      <c r="G29" s="581">
        <v>49.52</v>
      </c>
      <c r="H29" s="290">
        <f>G29*D29</f>
        <v>33426</v>
      </c>
      <c r="I29" s="573"/>
      <c r="J29" s="300">
        <f>D29*I29</f>
        <v>0</v>
      </c>
      <c r="K29" s="297" t="s">
        <v>114</v>
      </c>
      <c r="L29" s="297" t="s">
        <v>115</v>
      </c>
      <c r="M29" s="579"/>
    </row>
    <row r="30" spans="1:13" s="568" customFormat="1">
      <c r="A30" s="536" t="s">
        <v>122</v>
      </c>
      <c r="B30" s="537" t="s">
        <v>123</v>
      </c>
      <c r="C30" s="538"/>
      <c r="D30" s="539"/>
      <c r="E30" s="545"/>
      <c r="F30" s="288"/>
      <c r="G30" s="582"/>
      <c r="H30" s="288"/>
      <c r="I30" s="567"/>
      <c r="J30" s="293"/>
      <c r="K30" s="294"/>
      <c r="L30" s="294"/>
      <c r="M30" s="579"/>
    </row>
    <row r="31" spans="1:13" s="568" customFormat="1" ht="118.05" customHeight="1">
      <c r="A31" s="536" t="s">
        <v>124</v>
      </c>
      <c r="B31" s="537" t="s">
        <v>125</v>
      </c>
      <c r="C31" s="538" t="s">
        <v>113</v>
      </c>
      <c r="D31" s="539">
        <v>675</v>
      </c>
      <c r="E31" s="545">
        <v>1.62</v>
      </c>
      <c r="F31" s="290">
        <f>D31*E31</f>
        <v>1094</v>
      </c>
      <c r="G31" s="581">
        <v>1.1000000000000001</v>
      </c>
      <c r="H31" s="290">
        <f>G31*D31</f>
        <v>743</v>
      </c>
      <c r="I31" s="573"/>
      <c r="J31" s="300">
        <f>D31*I31</f>
        <v>0</v>
      </c>
      <c r="K31" s="297" t="s">
        <v>126</v>
      </c>
      <c r="L31" s="297" t="s">
        <v>127</v>
      </c>
      <c r="M31" s="579"/>
    </row>
    <row r="32" spans="1:13" s="568" customFormat="1">
      <c r="A32" s="536" t="s">
        <v>128</v>
      </c>
      <c r="B32" s="537" t="s">
        <v>129</v>
      </c>
      <c r="C32" s="538"/>
      <c r="D32" s="539"/>
      <c r="E32" s="545"/>
      <c r="F32" s="290"/>
      <c r="G32" s="581"/>
      <c r="H32" s="290"/>
      <c r="I32" s="574"/>
      <c r="J32" s="300"/>
      <c r="K32" s="297"/>
      <c r="L32" s="297"/>
      <c r="M32" s="579"/>
    </row>
    <row r="33" spans="1:13" s="568" customFormat="1" ht="118.05" customHeight="1">
      <c r="A33" s="536" t="s">
        <v>130</v>
      </c>
      <c r="B33" s="537" t="s">
        <v>131</v>
      </c>
      <c r="C33" s="538" t="s">
        <v>113</v>
      </c>
      <c r="D33" s="539">
        <v>680</v>
      </c>
      <c r="E33" s="545">
        <v>9.23</v>
      </c>
      <c r="F33" s="290">
        <f>D33*E33</f>
        <v>6276</v>
      </c>
      <c r="G33" s="581">
        <v>5.73</v>
      </c>
      <c r="H33" s="290">
        <f>G33*D33</f>
        <v>3896</v>
      </c>
      <c r="I33" s="573"/>
      <c r="J33" s="300">
        <f>D33*I33</f>
        <v>0</v>
      </c>
      <c r="K33" s="297" t="s">
        <v>132</v>
      </c>
      <c r="L33" s="297" t="s">
        <v>133</v>
      </c>
      <c r="M33" s="579"/>
    </row>
    <row r="34" spans="1:13" s="568" customFormat="1">
      <c r="A34" s="541">
        <v>500</v>
      </c>
      <c r="B34" s="542" t="s">
        <v>24</v>
      </c>
      <c r="C34" s="538"/>
      <c r="D34" s="539"/>
      <c r="E34" s="545"/>
      <c r="F34" s="288"/>
      <c r="G34" s="581"/>
      <c r="H34" s="288"/>
      <c r="I34" s="567"/>
      <c r="J34" s="293"/>
      <c r="K34" s="294"/>
      <c r="L34" s="294"/>
      <c r="M34" s="579"/>
    </row>
    <row r="35" spans="1:13" s="568" customFormat="1">
      <c r="A35" s="536" t="s">
        <v>294</v>
      </c>
      <c r="B35" s="537" t="s">
        <v>134</v>
      </c>
      <c r="C35" s="538"/>
      <c r="D35" s="539"/>
      <c r="E35" s="545"/>
      <c r="F35" s="290"/>
      <c r="G35" s="581"/>
      <c r="H35" s="290"/>
      <c r="I35" s="574"/>
      <c r="J35" s="300"/>
      <c r="K35" s="297"/>
      <c r="L35" s="297"/>
      <c r="M35" s="534"/>
    </row>
    <row r="36" spans="1:13" s="568" customFormat="1">
      <c r="A36" s="536" t="s">
        <v>135</v>
      </c>
      <c r="B36" s="537" t="s">
        <v>136</v>
      </c>
      <c r="C36" s="538"/>
      <c r="D36" s="539"/>
      <c r="E36" s="545"/>
      <c r="F36" s="290"/>
      <c r="G36" s="581"/>
      <c r="H36" s="290"/>
      <c r="I36" s="574"/>
      <c r="J36" s="300"/>
      <c r="K36" s="297"/>
      <c r="L36" s="297"/>
      <c r="M36" s="579"/>
    </row>
    <row r="37" spans="1:13" s="568" customFormat="1">
      <c r="A37" s="536" t="s">
        <v>137</v>
      </c>
      <c r="B37" s="537" t="s">
        <v>138</v>
      </c>
      <c r="C37" s="538"/>
      <c r="D37" s="539"/>
      <c r="E37" s="545"/>
      <c r="F37" s="288"/>
      <c r="G37" s="582"/>
      <c r="H37" s="288"/>
      <c r="I37" s="567"/>
      <c r="J37" s="293"/>
      <c r="K37" s="294"/>
      <c r="L37" s="294"/>
      <c r="M37" s="579"/>
    </row>
    <row r="38" spans="1:13" s="568" customFormat="1" ht="94.05" customHeight="1">
      <c r="A38" s="536" t="s">
        <v>139</v>
      </c>
      <c r="B38" s="537" t="s">
        <v>275</v>
      </c>
      <c r="C38" s="538" t="s">
        <v>140</v>
      </c>
      <c r="D38" s="539">
        <v>2520</v>
      </c>
      <c r="E38" s="545">
        <v>132.88999999999999</v>
      </c>
      <c r="F38" s="290">
        <f>D38*E38</f>
        <v>334883</v>
      </c>
      <c r="G38" s="581">
        <v>57.2</v>
      </c>
      <c r="H38" s="290">
        <f>G38*D38</f>
        <v>144144</v>
      </c>
      <c r="I38" s="573"/>
      <c r="J38" s="300">
        <f>D38*I38</f>
        <v>0</v>
      </c>
      <c r="K38" s="297" t="s">
        <v>141</v>
      </c>
      <c r="L38" s="297" t="s">
        <v>142</v>
      </c>
      <c r="M38" s="579"/>
    </row>
    <row r="39" spans="1:13" s="568" customFormat="1">
      <c r="A39" s="536" t="s">
        <v>143</v>
      </c>
      <c r="B39" s="537" t="s">
        <v>144</v>
      </c>
      <c r="C39" s="538"/>
      <c r="D39" s="539"/>
      <c r="E39" s="545"/>
      <c r="F39" s="290"/>
      <c r="G39" s="581"/>
      <c r="H39" s="290"/>
      <c r="I39" s="574"/>
      <c r="J39" s="300"/>
      <c r="K39" s="297"/>
      <c r="L39" s="297"/>
      <c r="M39" s="579"/>
    </row>
    <row r="40" spans="1:13" s="568" customFormat="1" ht="118.05" customHeight="1">
      <c r="A40" s="536" t="s">
        <v>145</v>
      </c>
      <c r="B40" s="537" t="s">
        <v>146</v>
      </c>
      <c r="C40" s="538" t="s">
        <v>95</v>
      </c>
      <c r="D40" s="539">
        <v>580</v>
      </c>
      <c r="E40" s="545">
        <v>673.03</v>
      </c>
      <c r="F40" s="290">
        <f>D40*E40</f>
        <v>390357</v>
      </c>
      <c r="G40" s="581">
        <v>463.5</v>
      </c>
      <c r="H40" s="290">
        <f>G40*D40</f>
        <v>268830</v>
      </c>
      <c r="I40" s="573"/>
      <c r="J40" s="300">
        <f>D40*I40</f>
        <v>0</v>
      </c>
      <c r="K40" s="297" t="s">
        <v>147</v>
      </c>
      <c r="L40" s="297" t="s">
        <v>148</v>
      </c>
      <c r="M40" s="579"/>
    </row>
    <row r="41" spans="1:13" s="568" customFormat="1">
      <c r="A41" s="536" t="s">
        <v>149</v>
      </c>
      <c r="B41" s="537" t="s">
        <v>150</v>
      </c>
      <c r="C41" s="538"/>
      <c r="D41" s="539"/>
      <c r="E41" s="545"/>
      <c r="F41" s="290"/>
      <c r="G41" s="581"/>
      <c r="H41" s="290"/>
      <c r="I41" s="574"/>
      <c r="J41" s="300"/>
      <c r="K41" s="297"/>
      <c r="L41" s="297"/>
      <c r="M41" s="534"/>
    </row>
    <row r="42" spans="1:13" s="568" customFormat="1">
      <c r="A42" s="536" t="s">
        <v>151</v>
      </c>
      <c r="B42" s="537" t="s">
        <v>152</v>
      </c>
      <c r="C42" s="538"/>
      <c r="D42" s="539"/>
      <c r="E42" s="545"/>
      <c r="F42" s="290"/>
      <c r="G42" s="581"/>
      <c r="H42" s="290"/>
      <c r="I42" s="574"/>
      <c r="J42" s="300"/>
      <c r="K42" s="297"/>
      <c r="L42" s="297"/>
      <c r="M42" s="579"/>
    </row>
    <row r="43" spans="1:13" s="568" customFormat="1" ht="79.95" customHeight="1">
      <c r="A43" s="536" t="s">
        <v>153</v>
      </c>
      <c r="B43" s="537" t="s">
        <v>154</v>
      </c>
      <c r="C43" s="538" t="s">
        <v>95</v>
      </c>
      <c r="D43" s="539">
        <v>39</v>
      </c>
      <c r="E43" s="545">
        <v>521.62</v>
      </c>
      <c r="F43" s="290">
        <f t="shared" ref="F43:F45" si="3">D43*E43</f>
        <v>20343</v>
      </c>
      <c r="G43" s="581">
        <v>239.74</v>
      </c>
      <c r="H43" s="290">
        <f t="shared" ref="H43:H45" si="4">G43*D43</f>
        <v>9350</v>
      </c>
      <c r="I43" s="573"/>
      <c r="J43" s="300">
        <f>D43*I43</f>
        <v>0</v>
      </c>
      <c r="K43" s="297" t="s">
        <v>155</v>
      </c>
      <c r="L43" s="297" t="s">
        <v>156</v>
      </c>
      <c r="M43" s="534"/>
    </row>
    <row r="44" spans="1:13" s="568" customFormat="1" ht="79.95" customHeight="1">
      <c r="A44" s="536" t="s">
        <v>157</v>
      </c>
      <c r="B44" s="537" t="s">
        <v>158</v>
      </c>
      <c r="C44" s="538" t="s">
        <v>95</v>
      </c>
      <c r="D44" s="539">
        <v>108</v>
      </c>
      <c r="E44" s="545">
        <v>150.87</v>
      </c>
      <c r="F44" s="290">
        <f t="shared" si="3"/>
        <v>16294</v>
      </c>
      <c r="G44" s="581">
        <v>73.8</v>
      </c>
      <c r="H44" s="290">
        <f t="shared" si="4"/>
        <v>7970</v>
      </c>
      <c r="I44" s="573"/>
      <c r="J44" s="300">
        <f>D44*I44</f>
        <v>0</v>
      </c>
      <c r="K44" s="297" t="s">
        <v>155</v>
      </c>
      <c r="L44" s="297" t="s">
        <v>156</v>
      </c>
      <c r="M44" s="579"/>
    </row>
    <row r="45" spans="1:13" s="568" customFormat="1" ht="79.95" customHeight="1">
      <c r="A45" s="536" t="s">
        <v>159</v>
      </c>
      <c r="B45" s="537" t="s">
        <v>102</v>
      </c>
      <c r="C45" s="538" t="s">
        <v>95</v>
      </c>
      <c r="D45" s="539">
        <v>147</v>
      </c>
      <c r="E45" s="545">
        <v>38.96</v>
      </c>
      <c r="F45" s="290">
        <f t="shared" si="3"/>
        <v>5727</v>
      </c>
      <c r="G45" s="581">
        <v>20</v>
      </c>
      <c r="H45" s="290">
        <f t="shared" si="4"/>
        <v>2940</v>
      </c>
      <c r="I45" s="573"/>
      <c r="J45" s="300">
        <f>D45*I45</f>
        <v>0</v>
      </c>
      <c r="K45" s="297" t="s">
        <v>103</v>
      </c>
      <c r="L45" s="297" t="s">
        <v>104</v>
      </c>
      <c r="M45" s="534"/>
    </row>
    <row r="46" spans="1:13" s="568" customFormat="1">
      <c r="A46" s="536" t="s">
        <v>160</v>
      </c>
      <c r="B46" s="537" t="s">
        <v>161</v>
      </c>
      <c r="C46" s="538"/>
      <c r="D46" s="539"/>
      <c r="E46" s="545"/>
      <c r="F46" s="290"/>
      <c r="G46" s="581"/>
      <c r="H46" s="290"/>
      <c r="I46" s="574"/>
      <c r="J46" s="300"/>
      <c r="K46" s="297"/>
      <c r="L46" s="297"/>
      <c r="M46" s="579"/>
    </row>
    <row r="47" spans="1:13" s="568" customFormat="1" ht="118.05" customHeight="1">
      <c r="A47" s="536" t="s">
        <v>162</v>
      </c>
      <c r="B47" s="537" t="s">
        <v>163</v>
      </c>
      <c r="C47" s="538" t="s">
        <v>164</v>
      </c>
      <c r="D47" s="539">
        <v>35232</v>
      </c>
      <c r="E47" s="545">
        <v>5.98</v>
      </c>
      <c r="F47" s="290">
        <f t="shared" ref="F47:F51" si="5">D47*E47</f>
        <v>210687</v>
      </c>
      <c r="G47" s="581">
        <v>0.94</v>
      </c>
      <c r="H47" s="290">
        <f t="shared" ref="H47:H51" si="6">G47*D47</f>
        <v>33118</v>
      </c>
      <c r="I47" s="573"/>
      <c r="J47" s="300">
        <f>D47*I47</f>
        <v>0</v>
      </c>
      <c r="K47" s="297" t="s">
        <v>165</v>
      </c>
      <c r="L47" s="297" t="s">
        <v>1512</v>
      </c>
      <c r="M47" s="534"/>
    </row>
    <row r="48" spans="1:13" s="568" customFormat="1" ht="106.05" customHeight="1">
      <c r="A48" s="536" t="s">
        <v>166</v>
      </c>
      <c r="B48" s="537" t="s">
        <v>262</v>
      </c>
      <c r="C48" s="538" t="s">
        <v>164</v>
      </c>
      <c r="D48" s="539">
        <v>8259.2999999999993</v>
      </c>
      <c r="E48" s="545">
        <v>14.75</v>
      </c>
      <c r="F48" s="290">
        <f t="shared" si="5"/>
        <v>121825</v>
      </c>
      <c r="G48" s="581">
        <v>10.66</v>
      </c>
      <c r="H48" s="290">
        <f t="shared" si="6"/>
        <v>88044</v>
      </c>
      <c r="I48" s="573"/>
      <c r="J48" s="300">
        <f>D48*I48</f>
        <v>0</v>
      </c>
      <c r="K48" s="297" t="s">
        <v>167</v>
      </c>
      <c r="L48" s="297" t="s">
        <v>168</v>
      </c>
      <c r="M48" s="534"/>
    </row>
    <row r="49" spans="1:13" s="568" customFormat="1" ht="118.05" customHeight="1">
      <c r="A49" s="536" t="s">
        <v>175</v>
      </c>
      <c r="B49" s="537" t="s">
        <v>176</v>
      </c>
      <c r="C49" s="538" t="s">
        <v>164</v>
      </c>
      <c r="D49" s="539">
        <v>17960.8</v>
      </c>
      <c r="E49" s="545">
        <v>10.06</v>
      </c>
      <c r="F49" s="290">
        <f t="shared" si="5"/>
        <v>180686</v>
      </c>
      <c r="G49" s="581">
        <v>6.64</v>
      </c>
      <c r="H49" s="290">
        <f t="shared" si="6"/>
        <v>119260</v>
      </c>
      <c r="I49" s="573"/>
      <c r="J49" s="300">
        <f>D49*I49</f>
        <v>0</v>
      </c>
      <c r="K49" s="297" t="s">
        <v>177</v>
      </c>
      <c r="L49" s="297" t="s">
        <v>178</v>
      </c>
      <c r="M49" s="534"/>
    </row>
    <row r="50" spans="1:13" s="568" customFormat="1" ht="118.05" customHeight="1">
      <c r="A50" s="536" t="s">
        <v>179</v>
      </c>
      <c r="B50" s="537" t="s">
        <v>180</v>
      </c>
      <c r="C50" s="538" t="s">
        <v>164</v>
      </c>
      <c r="D50" s="539">
        <v>5028</v>
      </c>
      <c r="E50" s="545">
        <v>3.66</v>
      </c>
      <c r="F50" s="290">
        <f t="shared" si="5"/>
        <v>18402</v>
      </c>
      <c r="G50" s="581">
        <v>2.2000000000000002</v>
      </c>
      <c r="H50" s="290">
        <f t="shared" si="6"/>
        <v>11062</v>
      </c>
      <c r="I50" s="573"/>
      <c r="J50" s="300">
        <f>D50*I50</f>
        <v>0</v>
      </c>
      <c r="K50" s="297" t="s">
        <v>181</v>
      </c>
      <c r="L50" s="297" t="s">
        <v>182</v>
      </c>
      <c r="M50" s="534"/>
    </row>
    <row r="51" spans="1:13" s="568" customFormat="1" ht="118.05" customHeight="1">
      <c r="A51" s="536" t="s">
        <v>183</v>
      </c>
      <c r="B51" s="537" t="s">
        <v>184</v>
      </c>
      <c r="C51" s="538" t="s">
        <v>185</v>
      </c>
      <c r="D51" s="539">
        <v>180</v>
      </c>
      <c r="E51" s="545">
        <v>52.31</v>
      </c>
      <c r="F51" s="290">
        <f t="shared" si="5"/>
        <v>9416</v>
      </c>
      <c r="G51" s="581">
        <v>21</v>
      </c>
      <c r="H51" s="290">
        <f t="shared" si="6"/>
        <v>3780</v>
      </c>
      <c r="I51" s="573"/>
      <c r="J51" s="300">
        <f>D51*I51</f>
        <v>0</v>
      </c>
      <c r="K51" s="297" t="s">
        <v>186</v>
      </c>
      <c r="L51" s="297" t="s">
        <v>1513</v>
      </c>
      <c r="M51" s="534"/>
    </row>
    <row r="52" spans="1:13" s="568" customFormat="1">
      <c r="A52" s="536" t="s">
        <v>187</v>
      </c>
      <c r="B52" s="537" t="s">
        <v>188</v>
      </c>
      <c r="C52" s="538"/>
      <c r="D52" s="539"/>
      <c r="E52" s="545"/>
      <c r="F52" s="290"/>
      <c r="G52" s="581"/>
      <c r="H52" s="290"/>
      <c r="I52" s="574"/>
      <c r="J52" s="300"/>
      <c r="K52" s="297"/>
      <c r="L52" s="297"/>
      <c r="M52" s="534"/>
    </row>
    <row r="53" spans="1:13" s="568" customFormat="1" ht="118.05" customHeight="1">
      <c r="A53" s="536" t="s">
        <v>189</v>
      </c>
      <c r="B53" s="537" t="s">
        <v>190</v>
      </c>
      <c r="C53" s="538" t="s">
        <v>95</v>
      </c>
      <c r="D53" s="539">
        <v>39</v>
      </c>
      <c r="E53" s="545">
        <v>1075.71</v>
      </c>
      <c r="F53" s="290">
        <f>D53*E53</f>
        <v>41953</v>
      </c>
      <c r="G53" s="581">
        <v>238.21</v>
      </c>
      <c r="H53" s="290">
        <f>G53*D53</f>
        <v>9290</v>
      </c>
      <c r="I53" s="573"/>
      <c r="J53" s="300">
        <f>D53*I53</f>
        <v>0</v>
      </c>
      <c r="K53" s="297" t="s">
        <v>191</v>
      </c>
      <c r="L53" s="297" t="s">
        <v>1516</v>
      </c>
      <c r="M53" s="534"/>
    </row>
    <row r="54" spans="1:13" s="568" customFormat="1">
      <c r="A54" s="536" t="s">
        <v>197</v>
      </c>
      <c r="B54" s="537" t="s">
        <v>198</v>
      </c>
      <c r="C54" s="538"/>
      <c r="D54" s="539"/>
      <c r="E54" s="545"/>
      <c r="F54" s="290"/>
      <c r="G54" s="581"/>
      <c r="H54" s="290"/>
      <c r="I54" s="574"/>
      <c r="J54" s="300"/>
      <c r="K54" s="297"/>
      <c r="L54" s="297"/>
      <c r="M54" s="534"/>
    </row>
    <row r="55" spans="1:13" s="568" customFormat="1" ht="130.05000000000001" customHeight="1">
      <c r="A55" s="536" t="s">
        <v>199</v>
      </c>
      <c r="B55" s="537" t="s">
        <v>200</v>
      </c>
      <c r="C55" s="538" t="s">
        <v>95</v>
      </c>
      <c r="D55" s="539">
        <v>340</v>
      </c>
      <c r="E55" s="545">
        <v>670.81</v>
      </c>
      <c r="F55" s="290">
        <f>D55*E55</f>
        <v>228075</v>
      </c>
      <c r="G55" s="581">
        <v>51.03</v>
      </c>
      <c r="H55" s="290">
        <f>G55*D55</f>
        <v>17350</v>
      </c>
      <c r="I55" s="573"/>
      <c r="J55" s="300">
        <f>D55*I55</f>
        <v>0</v>
      </c>
      <c r="K55" s="297" t="s">
        <v>201</v>
      </c>
      <c r="L55" s="297" t="s">
        <v>1517</v>
      </c>
      <c r="M55" s="534"/>
    </row>
    <row r="56" spans="1:13" s="568" customFormat="1">
      <c r="A56" s="536" t="s">
        <v>202</v>
      </c>
      <c r="B56" s="537" t="s">
        <v>203</v>
      </c>
      <c r="C56" s="538"/>
      <c r="D56" s="539"/>
      <c r="E56" s="545"/>
      <c r="F56" s="290"/>
      <c r="G56" s="581"/>
      <c r="H56" s="290"/>
      <c r="I56" s="574"/>
      <c r="J56" s="300"/>
      <c r="K56" s="297"/>
      <c r="L56" s="297"/>
      <c r="M56" s="534"/>
    </row>
    <row r="57" spans="1:13" s="568" customFormat="1">
      <c r="A57" s="536" t="s">
        <v>204</v>
      </c>
      <c r="B57" s="537" t="s">
        <v>205</v>
      </c>
      <c r="C57" s="538"/>
      <c r="D57" s="539"/>
      <c r="E57" s="545"/>
      <c r="F57" s="290"/>
      <c r="G57" s="581"/>
      <c r="H57" s="290"/>
      <c r="I57" s="574"/>
      <c r="J57" s="300"/>
      <c r="K57" s="297"/>
      <c r="L57" s="297"/>
      <c r="M57" s="534"/>
    </row>
    <row r="58" spans="1:13" s="568" customFormat="1" ht="106.05" customHeight="1">
      <c r="A58" s="536" t="s">
        <v>206</v>
      </c>
      <c r="B58" s="537" t="s">
        <v>207</v>
      </c>
      <c r="C58" s="538" t="s">
        <v>113</v>
      </c>
      <c r="D58" s="539">
        <v>99</v>
      </c>
      <c r="E58" s="545">
        <v>15.92</v>
      </c>
      <c r="F58" s="290">
        <f t="shared" ref="F58:F59" si="7">D58*E58</f>
        <v>1576</v>
      </c>
      <c r="G58" s="581">
        <v>10.4</v>
      </c>
      <c r="H58" s="290">
        <f t="shared" ref="H58:H59" si="8">G58*D58</f>
        <v>1030</v>
      </c>
      <c r="I58" s="573"/>
      <c r="J58" s="300">
        <f>D58*I58</f>
        <v>0</v>
      </c>
      <c r="K58" s="297" t="s">
        <v>208</v>
      </c>
      <c r="L58" s="297" t="s">
        <v>209</v>
      </c>
      <c r="M58" s="534"/>
    </row>
    <row r="59" spans="1:13" s="568" customFormat="1" ht="94.05" customHeight="1">
      <c r="A59" s="536" t="s">
        <v>210</v>
      </c>
      <c r="B59" s="537" t="s">
        <v>211</v>
      </c>
      <c r="C59" s="538" t="s">
        <v>113</v>
      </c>
      <c r="D59" s="539">
        <v>99</v>
      </c>
      <c r="E59" s="545">
        <v>35.119999999999997</v>
      </c>
      <c r="F59" s="290">
        <f t="shared" si="7"/>
        <v>3477</v>
      </c>
      <c r="G59" s="581">
        <v>25.2</v>
      </c>
      <c r="H59" s="290">
        <f t="shared" si="8"/>
        <v>2495</v>
      </c>
      <c r="I59" s="573"/>
      <c r="J59" s="300">
        <f>D59*I59</f>
        <v>0</v>
      </c>
      <c r="K59" s="297" t="s">
        <v>212</v>
      </c>
      <c r="L59" s="297" t="s">
        <v>213</v>
      </c>
      <c r="M59" s="534"/>
    </row>
    <row r="60" spans="1:13" s="568" customFormat="1">
      <c r="A60" s="536" t="s">
        <v>214</v>
      </c>
      <c r="B60" s="537" t="s">
        <v>215</v>
      </c>
      <c r="C60" s="538"/>
      <c r="D60" s="539"/>
      <c r="E60" s="545"/>
      <c r="F60" s="290"/>
      <c r="G60" s="581"/>
      <c r="H60" s="290"/>
      <c r="I60" s="574"/>
      <c r="J60" s="300"/>
      <c r="K60" s="297"/>
      <c r="L60" s="297"/>
      <c r="M60" s="534"/>
    </row>
    <row r="61" spans="1:13" s="568" customFormat="1" ht="94.05" customHeight="1">
      <c r="A61" s="536" t="s">
        <v>216</v>
      </c>
      <c r="B61" s="537" t="s">
        <v>286</v>
      </c>
      <c r="C61" s="538" t="s">
        <v>95</v>
      </c>
      <c r="D61" s="539">
        <v>22.645</v>
      </c>
      <c r="E61" s="545">
        <v>1228.6500000000001</v>
      </c>
      <c r="F61" s="290">
        <f t="shared" ref="F61:F65" si="9">D61*E61</f>
        <v>27823</v>
      </c>
      <c r="G61" s="581">
        <v>280</v>
      </c>
      <c r="H61" s="290">
        <f t="shared" ref="H61:H65" si="10">G61*D61</f>
        <v>6341</v>
      </c>
      <c r="I61" s="573"/>
      <c r="J61" s="300">
        <f>D61*I61</f>
        <v>0</v>
      </c>
      <c r="K61" s="297" t="s">
        <v>201</v>
      </c>
      <c r="L61" s="297" t="s">
        <v>1518</v>
      </c>
      <c r="M61" s="534"/>
    </row>
    <row r="62" spans="1:13" s="568" customFormat="1" ht="156" customHeight="1">
      <c r="A62" s="536" t="s">
        <v>218</v>
      </c>
      <c r="B62" s="537" t="s">
        <v>287</v>
      </c>
      <c r="C62" s="538" t="s">
        <v>95</v>
      </c>
      <c r="D62" s="539">
        <v>100.3</v>
      </c>
      <c r="E62" s="545">
        <v>897.49</v>
      </c>
      <c r="F62" s="290">
        <f t="shared" si="9"/>
        <v>90018</v>
      </c>
      <c r="G62" s="581">
        <v>212.47</v>
      </c>
      <c r="H62" s="290">
        <f t="shared" si="10"/>
        <v>21311</v>
      </c>
      <c r="I62" s="573"/>
      <c r="J62" s="300">
        <f>D62*I62</f>
        <v>0</v>
      </c>
      <c r="K62" s="297" t="s">
        <v>201</v>
      </c>
      <c r="L62" s="297" t="s">
        <v>1519</v>
      </c>
      <c r="M62" s="534"/>
    </row>
    <row r="63" spans="1:13" s="568" customFormat="1" ht="118.05" customHeight="1">
      <c r="A63" s="536" t="s">
        <v>220</v>
      </c>
      <c r="B63" s="537" t="s">
        <v>221</v>
      </c>
      <c r="C63" s="538" t="s">
        <v>164</v>
      </c>
      <c r="D63" s="539">
        <v>10588</v>
      </c>
      <c r="E63" s="545">
        <v>5.88</v>
      </c>
      <c r="F63" s="290">
        <f t="shared" si="9"/>
        <v>62257</v>
      </c>
      <c r="G63" s="581">
        <v>0.72</v>
      </c>
      <c r="H63" s="290">
        <f t="shared" si="10"/>
        <v>7623</v>
      </c>
      <c r="I63" s="573"/>
      <c r="J63" s="300">
        <f>D63*I63</f>
        <v>0</v>
      </c>
      <c r="K63" s="297" t="s">
        <v>165</v>
      </c>
      <c r="L63" s="297" t="s">
        <v>1512</v>
      </c>
      <c r="M63" s="534"/>
    </row>
    <row r="64" spans="1:13" s="568" customFormat="1" ht="106.05" customHeight="1">
      <c r="A64" s="536" t="s">
        <v>222</v>
      </c>
      <c r="B64" s="537" t="s">
        <v>223</v>
      </c>
      <c r="C64" s="538" t="s">
        <v>164</v>
      </c>
      <c r="D64" s="539">
        <v>276</v>
      </c>
      <c r="E64" s="545">
        <v>11.05</v>
      </c>
      <c r="F64" s="290">
        <f t="shared" si="9"/>
        <v>3050</v>
      </c>
      <c r="G64" s="581">
        <v>9.09</v>
      </c>
      <c r="H64" s="290">
        <f t="shared" si="10"/>
        <v>2509</v>
      </c>
      <c r="I64" s="573"/>
      <c r="J64" s="300">
        <f>D64*I64</f>
        <v>0</v>
      </c>
      <c r="K64" s="297" t="s">
        <v>181</v>
      </c>
      <c r="L64" s="297" t="s">
        <v>224</v>
      </c>
      <c r="M64" s="579"/>
    </row>
    <row r="65" spans="1:13" s="568" customFormat="1" ht="79.95" customHeight="1">
      <c r="A65" s="536" t="s">
        <v>225</v>
      </c>
      <c r="B65" s="537" t="s">
        <v>226</v>
      </c>
      <c r="C65" s="538" t="s">
        <v>164</v>
      </c>
      <c r="D65" s="539">
        <v>863</v>
      </c>
      <c r="E65" s="545">
        <v>13.5</v>
      </c>
      <c r="F65" s="290">
        <f t="shared" si="9"/>
        <v>11651</v>
      </c>
      <c r="G65" s="581">
        <v>11</v>
      </c>
      <c r="H65" s="290">
        <f t="shared" si="10"/>
        <v>9493</v>
      </c>
      <c r="I65" s="573"/>
      <c r="J65" s="300">
        <f>D65*I65</f>
        <v>0</v>
      </c>
      <c r="K65" s="297" t="s">
        <v>227</v>
      </c>
      <c r="L65" s="297" t="s">
        <v>228</v>
      </c>
      <c r="M65" s="579"/>
    </row>
    <row r="66" spans="1:13" s="568" customFormat="1">
      <c r="A66" s="536" t="s">
        <v>229</v>
      </c>
      <c r="B66" s="537" t="s">
        <v>230</v>
      </c>
      <c r="C66" s="538"/>
      <c r="D66" s="539"/>
      <c r="E66" s="545"/>
      <c r="F66" s="290"/>
      <c r="G66" s="581"/>
      <c r="H66" s="290"/>
      <c r="I66" s="574"/>
      <c r="J66" s="300"/>
      <c r="K66" s="297"/>
      <c r="L66" s="297"/>
      <c r="M66" s="579"/>
    </row>
    <row r="67" spans="1:13" s="568" customFormat="1">
      <c r="A67" s="536" t="s">
        <v>231</v>
      </c>
      <c r="B67" s="537" t="s">
        <v>232</v>
      </c>
      <c r="C67" s="538"/>
      <c r="D67" s="539"/>
      <c r="E67" s="545"/>
      <c r="F67" s="290"/>
      <c r="G67" s="581"/>
      <c r="H67" s="290"/>
      <c r="I67" s="574"/>
      <c r="J67" s="300"/>
      <c r="K67" s="297"/>
      <c r="L67" s="297"/>
      <c r="M67" s="579"/>
    </row>
    <row r="68" spans="1:13" s="568" customFormat="1">
      <c r="A68" s="536" t="s">
        <v>233</v>
      </c>
      <c r="B68" s="537" t="s">
        <v>234</v>
      </c>
      <c r="C68" s="538"/>
      <c r="D68" s="539"/>
      <c r="E68" s="545"/>
      <c r="F68" s="290"/>
      <c r="G68" s="581"/>
      <c r="H68" s="290"/>
      <c r="I68" s="574"/>
      <c r="J68" s="300"/>
      <c r="K68" s="297"/>
      <c r="L68" s="297"/>
      <c r="M68" s="579"/>
    </row>
    <row r="69" spans="1:13" s="568" customFormat="1" ht="165" customHeight="1">
      <c r="A69" s="536" t="s">
        <v>235</v>
      </c>
      <c r="B69" s="537" t="s">
        <v>236</v>
      </c>
      <c r="C69" s="538" t="s">
        <v>113</v>
      </c>
      <c r="D69" s="539">
        <v>679.16700000000003</v>
      </c>
      <c r="E69" s="545">
        <v>178.77</v>
      </c>
      <c r="F69" s="290">
        <f t="shared" ref="F69:F73" si="11">D69*E69</f>
        <v>121415</v>
      </c>
      <c r="G69" s="581">
        <v>17.86</v>
      </c>
      <c r="H69" s="290">
        <f t="shared" ref="H69:H73" si="12">G69*D69</f>
        <v>12130</v>
      </c>
      <c r="I69" s="573"/>
      <c r="J69" s="300">
        <f>D69*I69</f>
        <v>0</v>
      </c>
      <c r="K69" s="297" t="s">
        <v>237</v>
      </c>
      <c r="L69" s="297" t="s">
        <v>1520</v>
      </c>
      <c r="M69" s="534"/>
    </row>
    <row r="70" spans="1:13" s="568" customFormat="1" ht="130.05000000000001" customHeight="1">
      <c r="A70" s="536" t="s">
        <v>240</v>
      </c>
      <c r="B70" s="537" t="s">
        <v>241</v>
      </c>
      <c r="C70" s="538" t="s">
        <v>164</v>
      </c>
      <c r="D70" s="539">
        <v>13967</v>
      </c>
      <c r="E70" s="545">
        <v>5.16</v>
      </c>
      <c r="F70" s="290">
        <f t="shared" si="11"/>
        <v>72070</v>
      </c>
      <c r="G70" s="581">
        <v>0.6</v>
      </c>
      <c r="H70" s="290">
        <f t="shared" si="12"/>
        <v>8380</v>
      </c>
      <c r="I70" s="573"/>
      <c r="J70" s="300">
        <f>D70*I70</f>
        <v>0</v>
      </c>
      <c r="K70" s="297" t="s">
        <v>242</v>
      </c>
      <c r="L70" s="297" t="s">
        <v>1514</v>
      </c>
      <c r="M70" s="534"/>
    </row>
    <row r="71" spans="1:13" s="568" customFormat="1" ht="82.05" customHeight="1">
      <c r="A71" s="536" t="s">
        <v>243</v>
      </c>
      <c r="B71" s="537" t="s">
        <v>244</v>
      </c>
      <c r="C71" s="538" t="s">
        <v>95</v>
      </c>
      <c r="D71" s="539">
        <v>231</v>
      </c>
      <c r="E71" s="545">
        <v>100.44</v>
      </c>
      <c r="F71" s="290">
        <f t="shared" si="11"/>
        <v>23202</v>
      </c>
      <c r="G71" s="581">
        <v>82</v>
      </c>
      <c r="H71" s="290">
        <f t="shared" si="12"/>
        <v>18942</v>
      </c>
      <c r="I71" s="573"/>
      <c r="J71" s="300">
        <f>D71*I71</f>
        <v>0</v>
      </c>
      <c r="K71" s="297" t="s">
        <v>245</v>
      </c>
      <c r="L71" s="297" t="s">
        <v>246</v>
      </c>
      <c r="M71" s="534"/>
    </row>
    <row r="72" spans="1:13" s="568" customFormat="1" ht="82.05" customHeight="1">
      <c r="A72" s="536" t="s">
        <v>247</v>
      </c>
      <c r="B72" s="537" t="s">
        <v>248</v>
      </c>
      <c r="C72" s="538" t="s">
        <v>95</v>
      </c>
      <c r="D72" s="539">
        <v>571</v>
      </c>
      <c r="E72" s="545">
        <v>56.92</v>
      </c>
      <c r="F72" s="290">
        <f t="shared" si="11"/>
        <v>32501</v>
      </c>
      <c r="G72" s="581">
        <v>20</v>
      </c>
      <c r="H72" s="290">
        <f t="shared" si="12"/>
        <v>11420</v>
      </c>
      <c r="I72" s="573"/>
      <c r="J72" s="300">
        <f>D72*I72</f>
        <v>0</v>
      </c>
      <c r="K72" s="297" t="s">
        <v>103</v>
      </c>
      <c r="L72" s="297" t="s">
        <v>104</v>
      </c>
      <c r="M72" s="579"/>
    </row>
    <row r="73" spans="1:13" s="568" customFormat="1" ht="82.05" customHeight="1">
      <c r="A73" s="536" t="s">
        <v>249</v>
      </c>
      <c r="B73" s="537" t="s">
        <v>250</v>
      </c>
      <c r="C73" s="538" t="s">
        <v>95</v>
      </c>
      <c r="D73" s="539">
        <v>340</v>
      </c>
      <c r="E73" s="545">
        <v>100.44</v>
      </c>
      <c r="F73" s="290">
        <f t="shared" si="11"/>
        <v>34150</v>
      </c>
      <c r="G73" s="581">
        <v>13</v>
      </c>
      <c r="H73" s="290">
        <f t="shared" si="12"/>
        <v>4420</v>
      </c>
      <c r="I73" s="573"/>
      <c r="J73" s="300">
        <f>D73*I73</f>
        <v>0</v>
      </c>
      <c r="K73" s="297" t="s">
        <v>251</v>
      </c>
      <c r="L73" s="297" t="s">
        <v>246</v>
      </c>
      <c r="M73" s="579"/>
    </row>
    <row r="74" spans="1:13" s="568" customFormat="1">
      <c r="A74" s="541">
        <v>600</v>
      </c>
      <c r="B74" s="542" t="s">
        <v>252</v>
      </c>
      <c r="C74" s="538"/>
      <c r="D74" s="543"/>
      <c r="E74" s="582"/>
      <c r="F74" s="288"/>
      <c r="G74" s="582"/>
      <c r="H74" s="288"/>
      <c r="I74" s="567"/>
      <c r="J74" s="293"/>
      <c r="K74" s="294"/>
      <c r="L74" s="294"/>
      <c r="M74" s="579"/>
    </row>
    <row r="75" spans="1:13" s="568" customFormat="1" ht="13.2">
      <c r="A75" s="536">
        <v>605</v>
      </c>
      <c r="B75" s="537" t="s">
        <v>253</v>
      </c>
      <c r="C75" s="538"/>
      <c r="D75" s="545"/>
      <c r="E75" s="603"/>
      <c r="F75" s="288"/>
      <c r="G75" s="582"/>
      <c r="H75" s="288"/>
      <c r="I75" s="567"/>
      <c r="J75" s="293"/>
      <c r="K75" s="294"/>
      <c r="L75" s="294"/>
      <c r="M75" s="579"/>
    </row>
    <row r="76" spans="1:13" s="568" customFormat="1" ht="13.2">
      <c r="A76" s="536" t="s">
        <v>254</v>
      </c>
      <c r="B76" s="537" t="s">
        <v>255</v>
      </c>
      <c r="C76" s="538"/>
      <c r="D76" s="545"/>
      <c r="E76" s="603"/>
      <c r="F76" s="288"/>
      <c r="G76" s="582"/>
      <c r="H76" s="288"/>
      <c r="I76" s="567"/>
      <c r="J76" s="293"/>
      <c r="K76" s="294"/>
      <c r="L76" s="294"/>
      <c r="M76" s="579"/>
    </row>
    <row r="77" spans="1:13" s="568" customFormat="1" ht="82.05" customHeight="1">
      <c r="A77" s="536" t="s">
        <v>256</v>
      </c>
      <c r="B77" s="537" t="s">
        <v>257</v>
      </c>
      <c r="C77" s="538" t="s">
        <v>113</v>
      </c>
      <c r="D77" s="539">
        <v>36</v>
      </c>
      <c r="E77" s="545">
        <v>43.85</v>
      </c>
      <c r="F77" s="290">
        <f>D77*E77</f>
        <v>1579</v>
      </c>
      <c r="G77" s="581">
        <v>32.68</v>
      </c>
      <c r="H77" s="290">
        <f>G77*D77</f>
        <v>1176</v>
      </c>
      <c r="I77" s="573"/>
      <c r="J77" s="300">
        <f>D77*I77</f>
        <v>0</v>
      </c>
      <c r="K77" s="297" t="s">
        <v>258</v>
      </c>
      <c r="L77" s="297" t="s">
        <v>259</v>
      </c>
      <c r="M77" s="579"/>
    </row>
    <row r="78" spans="1:13" s="576" customFormat="1" ht="19.2">
      <c r="A78" s="583" t="s">
        <v>260</v>
      </c>
      <c r="B78" s="584"/>
      <c r="C78" s="530"/>
      <c r="D78" s="531"/>
      <c r="E78" s="598"/>
      <c r="F78" s="348">
        <f t="shared" ref="F78:J78" si="13">SUM(F6:F77)</f>
        <v>2309519</v>
      </c>
      <c r="G78" s="585"/>
      <c r="H78" s="348">
        <f t="shared" si="13"/>
        <v>964465</v>
      </c>
      <c r="I78" s="575"/>
      <c r="J78" s="348">
        <f t="shared" si="13"/>
        <v>17863</v>
      </c>
      <c r="K78" s="347"/>
      <c r="L78" s="347"/>
      <c r="M78" s="580"/>
    </row>
  </sheetData>
  <sheetProtection algorithmName="SHA-512" hashValue="RR2mssK528IvAxzcmQQnVS5HGlcO2wr8/oP3fjlieRJ3uLlbOZXn2RpWTDcWOOOZbMCrbd3HqcN4ZxXfLcPYRw==" saltValue="4A8MVH+437J8YQctJBLWgQ==" spinCount="100000" sheet="1" objects="1" scenarios="1"/>
  <mergeCells count="16">
    <mergeCell ref="A1:M1"/>
    <mergeCell ref="A2:I2"/>
    <mergeCell ref="A78:B78"/>
    <mergeCell ref="A4:A5"/>
    <mergeCell ref="B4:B5"/>
    <mergeCell ref="C4:C5"/>
    <mergeCell ref="D4:D5"/>
    <mergeCell ref="E4:E5"/>
    <mergeCell ref="F4:F5"/>
    <mergeCell ref="G4:G5"/>
    <mergeCell ref="H4:H5"/>
    <mergeCell ref="I4:I5"/>
    <mergeCell ref="J4:J5"/>
    <mergeCell ref="K4:K5"/>
    <mergeCell ref="L4:L5"/>
    <mergeCell ref="M4:M5"/>
  </mergeCells>
  <phoneticPr fontId="98" type="noConversion"/>
  <conditionalFormatting sqref="M3 C6:C74 N2:IN78 A7:B15 N1:IE1">
    <cfRule type="cellIs" dxfId="107" priority="8" operator="equal">
      <formula>0</formula>
    </cfRule>
  </conditionalFormatting>
  <conditionalFormatting sqref="M21">
    <cfRule type="cellIs" dxfId="106" priority="28" operator="equal">
      <formula>0</formula>
    </cfRule>
  </conditionalFormatting>
  <conditionalFormatting sqref="M35">
    <cfRule type="cellIs" dxfId="105" priority="27" operator="equal">
      <formula>0</formula>
    </cfRule>
  </conditionalFormatting>
  <conditionalFormatting sqref="M41">
    <cfRule type="cellIs" dxfId="104" priority="26" operator="equal">
      <formula>0</formula>
    </cfRule>
  </conditionalFormatting>
  <conditionalFormatting sqref="M43">
    <cfRule type="cellIs" dxfId="103" priority="25" operator="equal">
      <formula>0</formula>
    </cfRule>
  </conditionalFormatting>
  <conditionalFormatting sqref="M45">
    <cfRule type="cellIs" dxfId="102" priority="24" operator="equal">
      <formula>0</formula>
    </cfRule>
  </conditionalFormatting>
  <conditionalFormatting sqref="M47">
    <cfRule type="cellIs" dxfId="101" priority="17" operator="equal">
      <formula>0</formula>
    </cfRule>
  </conditionalFormatting>
  <conditionalFormatting sqref="M51">
    <cfRule type="cellIs" dxfId="100" priority="16" operator="equal">
      <formula>0</formula>
    </cfRule>
  </conditionalFormatting>
  <conditionalFormatting sqref="M53">
    <cfRule type="cellIs" dxfId="99" priority="15" operator="equal">
      <formula>0</formula>
    </cfRule>
  </conditionalFormatting>
  <conditionalFormatting sqref="M55">
    <cfRule type="cellIs" dxfId="98" priority="14" operator="equal">
      <formula>0</formula>
    </cfRule>
  </conditionalFormatting>
  <conditionalFormatting sqref="M61">
    <cfRule type="cellIs" dxfId="97" priority="13" operator="equal">
      <formula>0</formula>
    </cfRule>
  </conditionalFormatting>
  <conditionalFormatting sqref="M62">
    <cfRule type="cellIs" dxfId="96" priority="12" operator="equal">
      <formula>0</formula>
    </cfRule>
  </conditionalFormatting>
  <conditionalFormatting sqref="M63">
    <cfRule type="cellIs" dxfId="95" priority="11" operator="equal">
      <formula>0</formula>
    </cfRule>
  </conditionalFormatting>
  <conditionalFormatting sqref="M69">
    <cfRule type="cellIs" dxfId="94" priority="10" operator="equal">
      <formula>0</formula>
    </cfRule>
  </conditionalFormatting>
  <conditionalFormatting sqref="M70">
    <cfRule type="cellIs" dxfId="93" priority="9" operator="equal">
      <formula>0</formula>
    </cfRule>
  </conditionalFormatting>
  <conditionalFormatting sqref="M71">
    <cfRule type="cellIs" dxfId="92" priority="20" operator="equal">
      <formula>0</formula>
    </cfRule>
  </conditionalFormatting>
  <conditionalFormatting sqref="C75:C77">
    <cfRule type="cellIs" dxfId="91" priority="18" operator="equal">
      <formula>0</formula>
    </cfRule>
  </conditionalFormatting>
  <conditionalFormatting sqref="A3:L3 A4:D4 A5:C5 C78 A2 J2:L2">
    <cfRule type="cellIs" dxfId="90" priority="31" operator="equal">
      <formula>0</formula>
    </cfRule>
  </conditionalFormatting>
  <conditionalFormatting sqref="M2 M4">
    <cfRule type="cellIs" dxfId="89" priority="30" operator="equal">
      <formula>0</formula>
    </cfRule>
  </conditionalFormatting>
  <conditionalFormatting sqref="M48:M50 M52 M54 M56:M60">
    <cfRule type="cellIs" dxfId="88" priority="23" operator="equal">
      <formula>0</formula>
    </cfRule>
  </conditionalFormatting>
  <conditionalFormatting sqref="A1">
    <cfRule type="cellIs" dxfId="87" priority="2" operator="equal">
      <formula>0</formula>
    </cfRule>
  </conditionalFormatting>
  <printOptions horizontalCentered="1"/>
  <pageMargins left="0.31496062992126" right="0.31496062992126" top="0.74803149606299202" bottom="0.74803149606299202" header="0.31496062992126" footer="0.31496062992126"/>
  <pageSetup paperSize="9" scale="61" fitToHeight="0" orientation="landscape" r:id="rId1"/>
  <headerFooter alignWithMargins="0">
    <oddFooter>&amp;C第 &amp;P 页，共 &amp;N 页</oddFooter>
  </headerFooter>
  <ignoredErrors>
    <ignoredError sqref="E7:E1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78"/>
  <sheetViews>
    <sheetView topLeftCell="A68" zoomScale="55" zoomScaleNormal="55" workbookViewId="0">
      <selection activeCell="H78" sqref="H78"/>
    </sheetView>
  </sheetViews>
  <sheetFormatPr defaultColWidth="9.109375" defaultRowHeight="12"/>
  <cols>
    <col min="1" max="1" width="20.44140625" style="498" customWidth="1"/>
    <col min="2" max="2" width="24.6640625" style="498" customWidth="1"/>
    <col min="3" max="3" width="6.6640625" style="566" customWidth="1"/>
    <col min="4" max="4" width="9.77734375" style="577" customWidth="1"/>
    <col min="5" max="5" width="9.6640625" style="498" hidden="1" customWidth="1"/>
    <col min="6" max="6" width="14.5546875" style="498" hidden="1" customWidth="1"/>
    <col min="7" max="7" width="10.21875" style="498" customWidth="1"/>
    <col min="8" max="8" width="15.77734375" style="498" customWidth="1"/>
    <col min="9" max="9" width="10.77734375" style="498" customWidth="1"/>
    <col min="10" max="10" width="15.77734375" style="498" customWidth="1"/>
    <col min="11" max="11" width="22.5546875" style="565" customWidth="1"/>
    <col min="12" max="12" width="62.6640625" style="565" customWidth="1"/>
    <col min="13" max="13" width="19.77734375" style="566" customWidth="1"/>
    <col min="14" max="14" width="9.109375" style="498"/>
    <col min="15" max="16" width="11.33203125" style="498" customWidth="1"/>
    <col min="17" max="17" width="25" style="498" customWidth="1"/>
    <col min="18" max="16384" width="9.109375" style="498"/>
  </cols>
  <sheetData>
    <row r="1" spans="1:13" s="495" customFormat="1" ht="55.8" customHeight="1">
      <c r="A1" s="499" t="s">
        <v>1527</v>
      </c>
      <c r="B1" s="499"/>
      <c r="C1" s="499"/>
      <c r="D1" s="499"/>
      <c r="E1" s="499"/>
      <c r="F1" s="499"/>
      <c r="G1" s="499"/>
      <c r="H1" s="499"/>
      <c r="I1" s="549"/>
      <c r="J1" s="499"/>
      <c r="K1" s="499"/>
      <c r="L1" s="499"/>
      <c r="M1" s="499"/>
    </row>
    <row r="2" spans="1:13" ht="18.75" customHeight="1">
      <c r="A2" s="550" t="s">
        <v>295</v>
      </c>
      <c r="B2" s="550"/>
      <c r="C2" s="550"/>
      <c r="D2" s="550"/>
      <c r="E2" s="550"/>
      <c r="F2" s="550"/>
      <c r="G2" s="550"/>
      <c r="H2" s="550"/>
      <c r="I2" s="587"/>
      <c r="J2" s="588"/>
      <c r="K2" s="589"/>
      <c r="L2" s="589"/>
      <c r="M2" s="590"/>
    </row>
    <row r="3" spans="1:13" ht="18.75" customHeight="1">
      <c r="A3" s="591" t="s">
        <v>55</v>
      </c>
      <c r="B3" s="591"/>
      <c r="C3" s="592"/>
      <c r="D3" s="593"/>
      <c r="E3" s="591"/>
      <c r="F3" s="594"/>
      <c r="G3" s="594"/>
      <c r="H3" s="594"/>
      <c r="I3" s="595"/>
      <c r="J3" s="594"/>
      <c r="K3" s="591"/>
      <c r="L3" s="591"/>
      <c r="M3" s="503" t="s">
        <v>39</v>
      </c>
    </row>
    <row r="4" spans="1:13" ht="20.100000000000001" customHeight="1">
      <c r="A4" s="378" t="s">
        <v>56</v>
      </c>
      <c r="B4" s="380" t="s">
        <v>57</v>
      </c>
      <c r="C4" s="380" t="s">
        <v>58</v>
      </c>
      <c r="D4" s="557" t="s">
        <v>59</v>
      </c>
      <c r="E4" s="558" t="s">
        <v>60</v>
      </c>
      <c r="F4" s="380" t="s">
        <v>61</v>
      </c>
      <c r="G4" s="558" t="s">
        <v>1528</v>
      </c>
      <c r="H4" s="371" t="s">
        <v>1529</v>
      </c>
      <c r="I4" s="375" t="s">
        <v>1530</v>
      </c>
      <c r="J4" s="377" t="s">
        <v>1531</v>
      </c>
      <c r="K4" s="377" t="s">
        <v>62</v>
      </c>
      <c r="L4" s="377" t="s">
        <v>63</v>
      </c>
      <c r="M4" s="600" t="s">
        <v>12</v>
      </c>
    </row>
    <row r="5" spans="1:13" ht="20.100000000000001" customHeight="1">
      <c r="A5" s="379"/>
      <c r="B5" s="381"/>
      <c r="C5" s="381"/>
      <c r="D5" s="560"/>
      <c r="E5" s="561"/>
      <c r="F5" s="381"/>
      <c r="G5" s="561"/>
      <c r="H5" s="372"/>
      <c r="I5" s="376"/>
      <c r="J5" s="376"/>
      <c r="K5" s="376"/>
      <c r="L5" s="376"/>
      <c r="M5" s="601"/>
    </row>
    <row r="6" spans="1:13" s="568" customFormat="1">
      <c r="A6" s="541">
        <v>100</v>
      </c>
      <c r="B6" s="542" t="s">
        <v>64</v>
      </c>
      <c r="C6" s="288"/>
      <c r="D6" s="543"/>
      <c r="E6" s="582"/>
      <c r="F6" s="288"/>
      <c r="G6" s="582"/>
      <c r="H6" s="288"/>
      <c r="I6" s="303"/>
      <c r="J6" s="293"/>
      <c r="K6" s="294"/>
      <c r="L6" s="294"/>
      <c r="M6" s="579"/>
    </row>
    <row r="7" spans="1:13" s="568" customFormat="1">
      <c r="A7" s="536">
        <v>102</v>
      </c>
      <c r="B7" s="537" t="s">
        <v>66</v>
      </c>
      <c r="C7" s="538"/>
      <c r="D7" s="539"/>
      <c r="E7" s="545"/>
      <c r="F7" s="288"/>
      <c r="G7" s="582"/>
      <c r="H7" s="288"/>
      <c r="I7" s="303"/>
      <c r="J7" s="293"/>
      <c r="K7" s="294"/>
      <c r="L7" s="294"/>
      <c r="M7" s="579"/>
    </row>
    <row r="8" spans="1:13" s="568" customFormat="1" ht="70.05" customHeight="1">
      <c r="A8" s="536" t="s">
        <v>67</v>
      </c>
      <c r="B8" s="537" t="s">
        <v>68</v>
      </c>
      <c r="C8" s="538" t="s">
        <v>65</v>
      </c>
      <c r="D8" s="539">
        <v>1</v>
      </c>
      <c r="E8" s="545">
        <v>12718.05</v>
      </c>
      <c r="F8" s="290">
        <f>D8*E8</f>
        <v>12718</v>
      </c>
      <c r="G8" s="596">
        <v>5979</v>
      </c>
      <c r="H8" s="290">
        <f t="shared" ref="H8:H9" si="0">G8*D8</f>
        <v>5979</v>
      </c>
      <c r="I8" s="596">
        <v>5979</v>
      </c>
      <c r="J8" s="300">
        <f>D8*I8</f>
        <v>5979</v>
      </c>
      <c r="K8" s="296" t="s">
        <v>69</v>
      </c>
      <c r="L8" s="297" t="s">
        <v>70</v>
      </c>
      <c r="M8" s="578"/>
    </row>
    <row r="9" spans="1:13" s="568" customFormat="1" ht="139.94999999999999" customHeight="1">
      <c r="A9" s="536" t="s">
        <v>71</v>
      </c>
      <c r="B9" s="537" t="s">
        <v>72</v>
      </c>
      <c r="C9" s="538" t="s">
        <v>65</v>
      </c>
      <c r="D9" s="539">
        <v>1</v>
      </c>
      <c r="E9" s="545">
        <v>74543</v>
      </c>
      <c r="F9" s="290">
        <f>D9*E9</f>
        <v>74543</v>
      </c>
      <c r="G9" s="596">
        <v>23359</v>
      </c>
      <c r="H9" s="290">
        <f t="shared" si="0"/>
        <v>23359</v>
      </c>
      <c r="I9" s="596">
        <v>23359</v>
      </c>
      <c r="J9" s="300">
        <f>D9*I9</f>
        <v>23359</v>
      </c>
      <c r="K9" s="296" t="s">
        <v>1536</v>
      </c>
      <c r="L9" s="297" t="s">
        <v>73</v>
      </c>
      <c r="M9" s="578"/>
    </row>
    <row r="10" spans="1:13" s="568" customFormat="1">
      <c r="A10" s="536" t="s">
        <v>74</v>
      </c>
      <c r="B10" s="537" t="s">
        <v>75</v>
      </c>
      <c r="C10" s="538"/>
      <c r="D10" s="539"/>
      <c r="E10" s="545"/>
      <c r="F10" s="288"/>
      <c r="G10" s="582"/>
      <c r="H10" s="288"/>
      <c r="I10" s="608"/>
      <c r="J10" s="293"/>
      <c r="K10" s="294"/>
      <c r="L10" s="294"/>
      <c r="M10" s="579"/>
    </row>
    <row r="11" spans="1:13" s="568" customFormat="1" ht="108">
      <c r="A11" s="536" t="s">
        <v>76</v>
      </c>
      <c r="B11" s="537" t="s">
        <v>77</v>
      </c>
      <c r="C11" s="538" t="s">
        <v>78</v>
      </c>
      <c r="D11" s="539">
        <v>75</v>
      </c>
      <c r="E11" s="545">
        <v>687.23</v>
      </c>
      <c r="F11" s="290">
        <f>D11*E11</f>
        <v>51542</v>
      </c>
      <c r="G11" s="547">
        <v>530</v>
      </c>
      <c r="H11" s="290">
        <f>G11*D11</f>
        <v>39750</v>
      </c>
      <c r="I11" s="573"/>
      <c r="J11" s="300">
        <f>D11*I11</f>
        <v>0</v>
      </c>
      <c r="K11" s="297" t="s">
        <v>79</v>
      </c>
      <c r="L11" s="296" t="s">
        <v>1511</v>
      </c>
      <c r="M11" s="579"/>
    </row>
    <row r="12" spans="1:13" s="568" customFormat="1">
      <c r="A12" s="536">
        <v>104</v>
      </c>
      <c r="B12" s="537" t="s">
        <v>81</v>
      </c>
      <c r="C12" s="538"/>
      <c r="D12" s="539"/>
      <c r="E12" s="545"/>
      <c r="F12" s="288"/>
      <c r="G12" s="582"/>
      <c r="H12" s="288"/>
      <c r="I12" s="567"/>
      <c r="J12" s="293"/>
      <c r="K12" s="297"/>
      <c r="L12" s="294"/>
      <c r="M12" s="579"/>
    </row>
    <row r="13" spans="1:13" s="568" customFormat="1" ht="24">
      <c r="A13" s="536" t="s">
        <v>82</v>
      </c>
      <c r="B13" s="537" t="s">
        <v>83</v>
      </c>
      <c r="C13" s="538" t="s">
        <v>65</v>
      </c>
      <c r="D13" s="539">
        <v>1</v>
      </c>
      <c r="E13" s="545">
        <v>9830</v>
      </c>
      <c r="F13" s="290">
        <f>D13*E13</f>
        <v>9830</v>
      </c>
      <c r="G13" s="547">
        <v>4915</v>
      </c>
      <c r="H13" s="290">
        <f>G13*D13</f>
        <v>4915</v>
      </c>
      <c r="I13" s="573"/>
      <c r="J13" s="300">
        <f>D13*I13</f>
        <v>0</v>
      </c>
      <c r="K13" s="296" t="s">
        <v>69</v>
      </c>
      <c r="L13" s="296" t="s">
        <v>84</v>
      </c>
      <c r="M13" s="579"/>
    </row>
    <row r="14" spans="1:13" s="568" customFormat="1">
      <c r="A14" s="536">
        <v>109</v>
      </c>
      <c r="B14" s="537" t="s">
        <v>85</v>
      </c>
      <c r="C14" s="538"/>
      <c r="D14" s="539"/>
      <c r="E14" s="545"/>
      <c r="F14" s="288"/>
      <c r="G14" s="582"/>
      <c r="H14" s="288"/>
      <c r="I14" s="608"/>
      <c r="J14" s="293"/>
      <c r="K14" s="296"/>
      <c r="L14" s="294"/>
      <c r="M14" s="579"/>
    </row>
    <row r="15" spans="1:13" s="568" customFormat="1" ht="60">
      <c r="A15" s="536" t="s">
        <v>86</v>
      </c>
      <c r="B15" s="537" t="s">
        <v>85</v>
      </c>
      <c r="C15" s="538" t="s">
        <v>65</v>
      </c>
      <c r="D15" s="539">
        <v>1</v>
      </c>
      <c r="E15" s="545">
        <v>25435.13</v>
      </c>
      <c r="F15" s="290">
        <f>D15*E15</f>
        <v>25435</v>
      </c>
      <c r="G15" s="547">
        <v>11957</v>
      </c>
      <c r="H15" s="290">
        <f>G15*D15</f>
        <v>11957</v>
      </c>
      <c r="I15" s="521"/>
      <c r="J15" s="300">
        <f>D15*I15</f>
        <v>0</v>
      </c>
      <c r="K15" s="296" t="s">
        <v>69</v>
      </c>
      <c r="L15" s="296" t="s">
        <v>1540</v>
      </c>
      <c r="M15" s="579"/>
    </row>
    <row r="16" spans="1:13" s="568" customFormat="1">
      <c r="A16" s="541">
        <v>300</v>
      </c>
      <c r="B16" s="542" t="s">
        <v>87</v>
      </c>
      <c r="C16" s="538"/>
      <c r="D16" s="543"/>
      <c r="E16" s="582"/>
      <c r="F16" s="288"/>
      <c r="G16" s="582"/>
      <c r="H16" s="288"/>
      <c r="I16" s="608"/>
      <c r="J16" s="293"/>
      <c r="K16" s="297"/>
      <c r="L16" s="294"/>
      <c r="M16" s="579"/>
    </row>
    <row r="17" spans="1:13" s="568" customFormat="1">
      <c r="A17" s="536">
        <v>303</v>
      </c>
      <c r="B17" s="537" t="s">
        <v>88</v>
      </c>
      <c r="C17" s="538"/>
      <c r="D17" s="539"/>
      <c r="E17" s="545"/>
      <c r="F17" s="288"/>
      <c r="G17" s="582"/>
      <c r="H17" s="288"/>
      <c r="I17" s="608"/>
      <c r="J17" s="293"/>
      <c r="K17" s="297"/>
      <c r="L17" s="294"/>
      <c r="M17" s="579"/>
    </row>
    <row r="18" spans="1:13" s="568" customFormat="1" ht="24">
      <c r="A18" s="536" t="s">
        <v>89</v>
      </c>
      <c r="B18" s="537" t="s">
        <v>90</v>
      </c>
      <c r="C18" s="538"/>
      <c r="D18" s="539"/>
      <c r="E18" s="545"/>
      <c r="F18" s="288"/>
      <c r="G18" s="582"/>
      <c r="H18" s="288"/>
      <c r="I18" s="608"/>
      <c r="J18" s="293"/>
      <c r="K18" s="294"/>
      <c r="L18" s="294"/>
      <c r="M18" s="579"/>
    </row>
    <row r="19" spans="1:13" s="568" customFormat="1">
      <c r="A19" s="536" t="s">
        <v>91</v>
      </c>
      <c r="B19" s="537" t="s">
        <v>92</v>
      </c>
      <c r="C19" s="538"/>
      <c r="D19" s="539"/>
      <c r="E19" s="545"/>
      <c r="F19" s="288"/>
      <c r="G19" s="582"/>
      <c r="H19" s="288"/>
      <c r="I19" s="608"/>
      <c r="J19" s="293"/>
      <c r="K19" s="294"/>
      <c r="L19" s="294"/>
      <c r="M19" s="579"/>
    </row>
    <row r="20" spans="1:13" s="568" customFormat="1" ht="96">
      <c r="A20" s="536" t="s">
        <v>93</v>
      </c>
      <c r="B20" s="537" t="s">
        <v>94</v>
      </c>
      <c r="C20" s="538" t="s">
        <v>95</v>
      </c>
      <c r="D20" s="539">
        <v>20</v>
      </c>
      <c r="E20" s="545">
        <v>156.84</v>
      </c>
      <c r="F20" s="290">
        <f t="shared" ref="F20:F22" si="1">D20*E20</f>
        <v>3137</v>
      </c>
      <c r="G20" s="581">
        <v>82</v>
      </c>
      <c r="H20" s="290">
        <f t="shared" ref="H20:H22" si="2">G20*D20</f>
        <v>1640</v>
      </c>
      <c r="I20" s="573"/>
      <c r="J20" s="300">
        <f>D20*I20</f>
        <v>0</v>
      </c>
      <c r="K20" s="297" t="s">
        <v>96</v>
      </c>
      <c r="L20" s="297" t="s">
        <v>97</v>
      </c>
      <c r="M20" s="579"/>
    </row>
    <row r="21" spans="1:13" s="568" customFormat="1" ht="132">
      <c r="A21" s="536" t="s">
        <v>98</v>
      </c>
      <c r="B21" s="537" t="s">
        <v>99</v>
      </c>
      <c r="C21" s="538" t="s">
        <v>95</v>
      </c>
      <c r="D21" s="539">
        <v>20</v>
      </c>
      <c r="E21" s="545">
        <v>831.96</v>
      </c>
      <c r="F21" s="290">
        <f t="shared" si="1"/>
        <v>16639</v>
      </c>
      <c r="G21" s="581">
        <v>49.07</v>
      </c>
      <c r="H21" s="290">
        <f t="shared" si="2"/>
        <v>981</v>
      </c>
      <c r="I21" s="573"/>
      <c r="J21" s="300">
        <f>D21*I21</f>
        <v>0</v>
      </c>
      <c r="K21" s="297" t="s">
        <v>100</v>
      </c>
      <c r="L21" s="297" t="s">
        <v>1521</v>
      </c>
      <c r="M21" s="534"/>
    </row>
    <row r="22" spans="1:13" s="568" customFormat="1" ht="90" customHeight="1">
      <c r="A22" s="536" t="s">
        <v>101</v>
      </c>
      <c r="B22" s="537" t="s">
        <v>102</v>
      </c>
      <c r="C22" s="538" t="s">
        <v>95</v>
      </c>
      <c r="D22" s="539">
        <v>20</v>
      </c>
      <c r="E22" s="545">
        <v>38.04</v>
      </c>
      <c r="F22" s="290">
        <f t="shared" si="1"/>
        <v>761</v>
      </c>
      <c r="G22" s="581">
        <v>20</v>
      </c>
      <c r="H22" s="290">
        <f t="shared" si="2"/>
        <v>400</v>
      </c>
      <c r="I22" s="573"/>
      <c r="J22" s="300">
        <f>D22*I22</f>
        <v>0</v>
      </c>
      <c r="K22" s="297" t="s">
        <v>103</v>
      </c>
      <c r="L22" s="297" t="s">
        <v>104</v>
      </c>
      <c r="M22" s="579"/>
    </row>
    <row r="23" spans="1:13" s="568" customFormat="1">
      <c r="A23" s="536" t="s">
        <v>105</v>
      </c>
      <c r="B23" s="537" t="s">
        <v>106</v>
      </c>
      <c r="C23" s="538"/>
      <c r="D23" s="539"/>
      <c r="E23" s="545"/>
      <c r="F23" s="290"/>
      <c r="G23" s="581"/>
      <c r="H23" s="290"/>
      <c r="I23" s="573"/>
      <c r="J23" s="300"/>
      <c r="K23" s="297"/>
      <c r="L23" s="297"/>
      <c r="M23" s="579"/>
    </row>
    <row r="24" spans="1:13" s="568" customFormat="1">
      <c r="A24" s="536" t="s">
        <v>107</v>
      </c>
      <c r="B24" s="537" t="s">
        <v>108</v>
      </c>
      <c r="C24" s="538"/>
      <c r="D24" s="539"/>
      <c r="E24" s="545"/>
      <c r="F24" s="290"/>
      <c r="G24" s="581"/>
      <c r="H24" s="290"/>
      <c r="I24" s="573"/>
      <c r="J24" s="300"/>
      <c r="K24" s="297"/>
      <c r="L24" s="297"/>
      <c r="M24" s="579"/>
    </row>
    <row r="25" spans="1:13" s="568" customFormat="1">
      <c r="A25" s="536" t="s">
        <v>109</v>
      </c>
      <c r="B25" s="537" t="s">
        <v>110</v>
      </c>
      <c r="C25" s="538"/>
      <c r="D25" s="539"/>
      <c r="E25" s="545"/>
      <c r="F25" s="290"/>
      <c r="G25" s="581"/>
      <c r="H25" s="290"/>
      <c r="I25" s="573"/>
      <c r="J25" s="300"/>
      <c r="K25" s="297"/>
      <c r="L25" s="297"/>
      <c r="M25" s="579"/>
    </row>
    <row r="26" spans="1:13" s="568" customFormat="1" ht="120">
      <c r="A26" s="536" t="s">
        <v>111</v>
      </c>
      <c r="B26" s="537" t="s">
        <v>112</v>
      </c>
      <c r="C26" s="538" t="s">
        <v>113</v>
      </c>
      <c r="D26" s="539">
        <v>1016.667</v>
      </c>
      <c r="E26" s="545">
        <v>75.790000000000006</v>
      </c>
      <c r="F26" s="290">
        <f>D26*E26</f>
        <v>77053</v>
      </c>
      <c r="G26" s="581">
        <v>57.2</v>
      </c>
      <c r="H26" s="290">
        <f>G26*D26</f>
        <v>58153</v>
      </c>
      <c r="I26" s="573"/>
      <c r="J26" s="300">
        <f>D26*I26</f>
        <v>0</v>
      </c>
      <c r="K26" s="297" t="s">
        <v>114</v>
      </c>
      <c r="L26" s="297" t="s">
        <v>115</v>
      </c>
      <c r="M26" s="579"/>
    </row>
    <row r="27" spans="1:13" s="568" customFormat="1">
      <c r="A27" s="536" t="s">
        <v>116</v>
      </c>
      <c r="B27" s="537" t="s">
        <v>117</v>
      </c>
      <c r="C27" s="538"/>
      <c r="D27" s="539"/>
      <c r="E27" s="545"/>
      <c r="F27" s="288"/>
      <c r="G27" s="582"/>
      <c r="H27" s="288"/>
      <c r="I27" s="608"/>
      <c r="J27" s="293"/>
      <c r="K27" s="294"/>
      <c r="L27" s="294"/>
      <c r="M27" s="579"/>
    </row>
    <row r="28" spans="1:13" s="568" customFormat="1" ht="24">
      <c r="A28" s="536" t="s">
        <v>118</v>
      </c>
      <c r="B28" s="537" t="s">
        <v>119</v>
      </c>
      <c r="C28" s="538"/>
      <c r="D28" s="539"/>
      <c r="E28" s="545"/>
      <c r="F28" s="288"/>
      <c r="G28" s="582"/>
      <c r="H28" s="288"/>
      <c r="I28" s="608"/>
      <c r="J28" s="293"/>
      <c r="K28" s="294"/>
      <c r="L28" s="294"/>
      <c r="M28" s="579"/>
    </row>
    <row r="29" spans="1:13" s="568" customFormat="1" ht="120">
      <c r="A29" s="536" t="s">
        <v>120</v>
      </c>
      <c r="B29" s="537" t="s">
        <v>121</v>
      </c>
      <c r="C29" s="538" t="s">
        <v>113</v>
      </c>
      <c r="D29" s="539">
        <v>1000</v>
      </c>
      <c r="E29" s="545">
        <v>63.14</v>
      </c>
      <c r="F29" s="290">
        <f>D29*E29</f>
        <v>63140</v>
      </c>
      <c r="G29" s="581">
        <v>49.52</v>
      </c>
      <c r="H29" s="290">
        <f t="shared" ref="H29" si="3">G29*D29</f>
        <v>49520</v>
      </c>
      <c r="I29" s="573"/>
      <c r="J29" s="300">
        <f>D29*I29</f>
        <v>0</v>
      </c>
      <c r="K29" s="297" t="s">
        <v>114</v>
      </c>
      <c r="L29" s="297" t="s">
        <v>115</v>
      </c>
      <c r="M29" s="579"/>
    </row>
    <row r="30" spans="1:13" s="568" customFormat="1">
      <c r="A30" s="536" t="s">
        <v>122</v>
      </c>
      <c r="B30" s="537" t="s">
        <v>123</v>
      </c>
      <c r="C30" s="538"/>
      <c r="D30" s="539"/>
      <c r="E30" s="545"/>
      <c r="F30" s="288"/>
      <c r="G30" s="582"/>
      <c r="H30" s="288"/>
      <c r="I30" s="608"/>
      <c r="J30" s="293"/>
      <c r="K30" s="294"/>
      <c r="L30" s="294"/>
      <c r="M30" s="579"/>
    </row>
    <row r="31" spans="1:13" s="568" customFormat="1" ht="120">
      <c r="A31" s="536" t="s">
        <v>124</v>
      </c>
      <c r="B31" s="537" t="s">
        <v>125</v>
      </c>
      <c r="C31" s="538" t="s">
        <v>113</v>
      </c>
      <c r="D31" s="539">
        <v>1525</v>
      </c>
      <c r="E31" s="545">
        <v>1.63</v>
      </c>
      <c r="F31" s="290">
        <f>D31*E31</f>
        <v>2486</v>
      </c>
      <c r="G31" s="581">
        <v>1.1000000000000001</v>
      </c>
      <c r="H31" s="290">
        <f t="shared" ref="H31" si="4">G31*D31</f>
        <v>1678</v>
      </c>
      <c r="I31" s="573"/>
      <c r="J31" s="300">
        <f>D31*I31</f>
        <v>0</v>
      </c>
      <c r="K31" s="297" t="s">
        <v>126</v>
      </c>
      <c r="L31" s="297" t="s">
        <v>127</v>
      </c>
      <c r="M31" s="579"/>
    </row>
    <row r="32" spans="1:13" s="568" customFormat="1">
      <c r="A32" s="536" t="s">
        <v>128</v>
      </c>
      <c r="B32" s="537" t="s">
        <v>129</v>
      </c>
      <c r="C32" s="538"/>
      <c r="D32" s="539"/>
      <c r="E32" s="545"/>
      <c r="F32" s="290"/>
      <c r="G32" s="581"/>
      <c r="H32" s="290"/>
      <c r="I32" s="573"/>
      <c r="J32" s="300"/>
      <c r="K32" s="297"/>
      <c r="L32" s="297"/>
      <c r="M32" s="579"/>
    </row>
    <row r="33" spans="1:13" s="568" customFormat="1" ht="120">
      <c r="A33" s="536" t="s">
        <v>130</v>
      </c>
      <c r="B33" s="537" t="s">
        <v>131</v>
      </c>
      <c r="C33" s="538" t="s">
        <v>113</v>
      </c>
      <c r="D33" s="539">
        <v>1012</v>
      </c>
      <c r="E33" s="545">
        <v>9.24</v>
      </c>
      <c r="F33" s="290">
        <f>D33*E33</f>
        <v>9351</v>
      </c>
      <c r="G33" s="581">
        <v>5.73</v>
      </c>
      <c r="H33" s="290">
        <f t="shared" ref="H33" si="5">G33*D33</f>
        <v>5799</v>
      </c>
      <c r="I33" s="573"/>
      <c r="J33" s="300">
        <f>D33*I33</f>
        <v>0</v>
      </c>
      <c r="K33" s="297" t="s">
        <v>132</v>
      </c>
      <c r="L33" s="297" t="s">
        <v>133</v>
      </c>
      <c r="M33" s="579"/>
    </row>
    <row r="34" spans="1:13" s="568" customFormat="1">
      <c r="A34" s="541">
        <v>500</v>
      </c>
      <c r="B34" s="542" t="s">
        <v>24</v>
      </c>
      <c r="C34" s="538"/>
      <c r="D34" s="539"/>
      <c r="E34" s="545"/>
      <c r="F34" s="288"/>
      <c r="G34" s="581"/>
      <c r="H34" s="288"/>
      <c r="I34" s="608"/>
      <c r="J34" s="293"/>
      <c r="K34" s="294"/>
      <c r="L34" s="294"/>
      <c r="M34" s="579"/>
    </row>
    <row r="35" spans="1:13" s="568" customFormat="1">
      <c r="A35" s="536">
        <v>503</v>
      </c>
      <c r="B35" s="537" t="s">
        <v>134</v>
      </c>
      <c r="C35" s="538"/>
      <c r="D35" s="539"/>
      <c r="E35" s="545"/>
      <c r="F35" s="290"/>
      <c r="G35" s="581"/>
      <c r="H35" s="290"/>
      <c r="I35" s="573"/>
      <c r="J35" s="300"/>
      <c r="K35" s="297"/>
      <c r="L35" s="297"/>
      <c r="M35" s="534"/>
    </row>
    <row r="36" spans="1:13" s="568" customFormat="1">
      <c r="A36" s="536" t="s">
        <v>135</v>
      </c>
      <c r="B36" s="537" t="s">
        <v>136</v>
      </c>
      <c r="C36" s="538"/>
      <c r="D36" s="539"/>
      <c r="E36" s="545"/>
      <c r="F36" s="290"/>
      <c r="G36" s="581"/>
      <c r="H36" s="290"/>
      <c r="I36" s="573"/>
      <c r="J36" s="300"/>
      <c r="K36" s="297"/>
      <c r="L36" s="297"/>
      <c r="M36" s="579"/>
    </row>
    <row r="37" spans="1:13" s="568" customFormat="1">
      <c r="A37" s="536" t="s">
        <v>137</v>
      </c>
      <c r="B37" s="537" t="s">
        <v>138</v>
      </c>
      <c r="C37" s="538"/>
      <c r="D37" s="539"/>
      <c r="E37" s="545"/>
      <c r="F37" s="288"/>
      <c r="G37" s="582"/>
      <c r="H37" s="288"/>
      <c r="I37" s="608"/>
      <c r="J37" s="293"/>
      <c r="K37" s="294"/>
      <c r="L37" s="294"/>
      <c r="M37" s="579"/>
    </row>
    <row r="38" spans="1:13" s="568" customFormat="1" ht="96">
      <c r="A38" s="536" t="s">
        <v>139</v>
      </c>
      <c r="B38" s="537" t="s">
        <v>275</v>
      </c>
      <c r="C38" s="538" t="s">
        <v>140</v>
      </c>
      <c r="D38" s="539">
        <v>3749</v>
      </c>
      <c r="E38" s="545">
        <v>132.88999999999999</v>
      </c>
      <c r="F38" s="290">
        <f>D38*E38</f>
        <v>498205</v>
      </c>
      <c r="G38" s="581">
        <v>57.2</v>
      </c>
      <c r="H38" s="290">
        <f t="shared" ref="H38" si="6">G38*D38</f>
        <v>214443</v>
      </c>
      <c r="I38" s="573"/>
      <c r="J38" s="300">
        <f>D38*I38</f>
        <v>0</v>
      </c>
      <c r="K38" s="297" t="s">
        <v>141</v>
      </c>
      <c r="L38" s="297" t="s">
        <v>142</v>
      </c>
      <c r="M38" s="579"/>
    </row>
    <row r="39" spans="1:13" s="568" customFormat="1">
      <c r="A39" s="536" t="s">
        <v>143</v>
      </c>
      <c r="B39" s="537" t="s">
        <v>144</v>
      </c>
      <c r="C39" s="538"/>
      <c r="D39" s="539"/>
      <c r="E39" s="545"/>
      <c r="F39" s="290"/>
      <c r="G39" s="581"/>
      <c r="H39" s="290"/>
      <c r="I39" s="573"/>
      <c r="J39" s="300"/>
      <c r="K39" s="297"/>
      <c r="L39" s="297"/>
      <c r="M39" s="579"/>
    </row>
    <row r="40" spans="1:13" s="568" customFormat="1" ht="120">
      <c r="A40" s="536" t="s">
        <v>145</v>
      </c>
      <c r="B40" s="537" t="s">
        <v>146</v>
      </c>
      <c r="C40" s="538" t="s">
        <v>95</v>
      </c>
      <c r="D40" s="539">
        <v>863</v>
      </c>
      <c r="E40" s="545">
        <v>673.03</v>
      </c>
      <c r="F40" s="290">
        <f>D40*E40</f>
        <v>580825</v>
      </c>
      <c r="G40" s="581">
        <v>463.5</v>
      </c>
      <c r="H40" s="290">
        <f t="shared" ref="H40" si="7">G40*D40</f>
        <v>400001</v>
      </c>
      <c r="I40" s="573"/>
      <c r="J40" s="300">
        <f>D40*I40</f>
        <v>0</v>
      </c>
      <c r="K40" s="297" t="s">
        <v>147</v>
      </c>
      <c r="L40" s="297" t="s">
        <v>148</v>
      </c>
      <c r="M40" s="579"/>
    </row>
    <row r="41" spans="1:13" s="568" customFormat="1">
      <c r="A41" s="536" t="s">
        <v>149</v>
      </c>
      <c r="B41" s="537" t="s">
        <v>150</v>
      </c>
      <c r="C41" s="538"/>
      <c r="D41" s="539"/>
      <c r="E41" s="545"/>
      <c r="F41" s="290"/>
      <c r="G41" s="581"/>
      <c r="H41" s="290"/>
      <c r="I41" s="573"/>
      <c r="J41" s="300"/>
      <c r="K41" s="297"/>
      <c r="L41" s="297"/>
      <c r="M41" s="534"/>
    </row>
    <row r="42" spans="1:13" s="568" customFormat="1">
      <c r="A42" s="536" t="s">
        <v>151</v>
      </c>
      <c r="B42" s="537" t="s">
        <v>152</v>
      </c>
      <c r="C42" s="538"/>
      <c r="D42" s="539"/>
      <c r="E42" s="545"/>
      <c r="F42" s="290"/>
      <c r="G42" s="581"/>
      <c r="H42" s="290"/>
      <c r="I42" s="573"/>
      <c r="J42" s="300"/>
      <c r="K42" s="297"/>
      <c r="L42" s="297"/>
      <c r="M42" s="579"/>
    </row>
    <row r="43" spans="1:13" s="568" customFormat="1" ht="84">
      <c r="A43" s="536" t="s">
        <v>153</v>
      </c>
      <c r="B43" s="537" t="s">
        <v>154</v>
      </c>
      <c r="C43" s="538" t="s">
        <v>95</v>
      </c>
      <c r="D43" s="539">
        <v>39</v>
      </c>
      <c r="E43" s="545">
        <v>521.62</v>
      </c>
      <c r="F43" s="290">
        <f t="shared" ref="F43:F45" si="8">D43*E43</f>
        <v>20343</v>
      </c>
      <c r="G43" s="581">
        <v>239.74</v>
      </c>
      <c r="H43" s="290">
        <f t="shared" ref="H43:H45" si="9">G43*D43</f>
        <v>9350</v>
      </c>
      <c r="I43" s="573"/>
      <c r="J43" s="300">
        <f>D43*I43</f>
        <v>0</v>
      </c>
      <c r="K43" s="297" t="s">
        <v>155</v>
      </c>
      <c r="L43" s="297" t="s">
        <v>156</v>
      </c>
      <c r="M43" s="534"/>
    </row>
    <row r="44" spans="1:13" s="568" customFormat="1" ht="84">
      <c r="A44" s="536" t="s">
        <v>157</v>
      </c>
      <c r="B44" s="537" t="s">
        <v>158</v>
      </c>
      <c r="C44" s="538" t="s">
        <v>95</v>
      </c>
      <c r="D44" s="539">
        <v>182</v>
      </c>
      <c r="E44" s="545">
        <v>150.86000000000001</v>
      </c>
      <c r="F44" s="290">
        <f t="shared" si="8"/>
        <v>27457</v>
      </c>
      <c r="G44" s="581">
        <v>73.8</v>
      </c>
      <c r="H44" s="290">
        <f t="shared" si="9"/>
        <v>13432</v>
      </c>
      <c r="I44" s="573"/>
      <c r="J44" s="300">
        <f>D44*I44</f>
        <v>0</v>
      </c>
      <c r="K44" s="297" t="s">
        <v>155</v>
      </c>
      <c r="L44" s="297" t="s">
        <v>156</v>
      </c>
      <c r="M44" s="579"/>
    </row>
    <row r="45" spans="1:13" s="568" customFormat="1" ht="84">
      <c r="A45" s="536" t="s">
        <v>159</v>
      </c>
      <c r="B45" s="537" t="s">
        <v>102</v>
      </c>
      <c r="C45" s="538" t="s">
        <v>95</v>
      </c>
      <c r="D45" s="539">
        <v>221</v>
      </c>
      <c r="E45" s="545">
        <v>38.01</v>
      </c>
      <c r="F45" s="290">
        <f t="shared" si="8"/>
        <v>8400</v>
      </c>
      <c r="G45" s="581">
        <v>20</v>
      </c>
      <c r="H45" s="290">
        <f t="shared" si="9"/>
        <v>4420</v>
      </c>
      <c r="I45" s="573"/>
      <c r="J45" s="300">
        <f>D45*I45</f>
        <v>0</v>
      </c>
      <c r="K45" s="297" t="s">
        <v>103</v>
      </c>
      <c r="L45" s="297" t="s">
        <v>104</v>
      </c>
      <c r="M45" s="534"/>
    </row>
    <row r="46" spans="1:13" s="568" customFormat="1">
      <c r="A46" s="536" t="s">
        <v>160</v>
      </c>
      <c r="B46" s="537" t="s">
        <v>161</v>
      </c>
      <c r="C46" s="538"/>
      <c r="D46" s="539"/>
      <c r="E46" s="545"/>
      <c r="F46" s="290"/>
      <c r="G46" s="581"/>
      <c r="H46" s="290"/>
      <c r="I46" s="573"/>
      <c r="J46" s="300"/>
      <c r="K46" s="297"/>
      <c r="L46" s="297"/>
      <c r="M46" s="579"/>
    </row>
    <row r="47" spans="1:13" s="568" customFormat="1" ht="120">
      <c r="A47" s="536" t="s">
        <v>162</v>
      </c>
      <c r="B47" s="537" t="s">
        <v>163</v>
      </c>
      <c r="C47" s="538" t="s">
        <v>164</v>
      </c>
      <c r="D47" s="539">
        <v>35232</v>
      </c>
      <c r="E47" s="545">
        <v>5.98</v>
      </c>
      <c r="F47" s="290">
        <f t="shared" ref="F47:F48" si="10">D47*E47</f>
        <v>210687</v>
      </c>
      <c r="G47" s="581">
        <v>0.94</v>
      </c>
      <c r="H47" s="290">
        <f t="shared" ref="H47:H58" si="11">G47*D47</f>
        <v>33118</v>
      </c>
      <c r="I47" s="573"/>
      <c r="J47" s="300">
        <f>D47*I47</f>
        <v>0</v>
      </c>
      <c r="K47" s="297" t="s">
        <v>165</v>
      </c>
      <c r="L47" s="297" t="s">
        <v>1512</v>
      </c>
      <c r="M47" s="534"/>
    </row>
    <row r="48" spans="1:13" s="568" customFormat="1" ht="108">
      <c r="A48" s="536" t="s">
        <v>166</v>
      </c>
      <c r="B48" s="537" t="s">
        <v>262</v>
      </c>
      <c r="C48" s="538" t="s">
        <v>164</v>
      </c>
      <c r="D48" s="539">
        <v>14190.54</v>
      </c>
      <c r="E48" s="545">
        <v>14.97</v>
      </c>
      <c r="F48" s="290">
        <f t="shared" si="10"/>
        <v>212432</v>
      </c>
      <c r="G48" s="581">
        <v>10.66</v>
      </c>
      <c r="H48" s="290">
        <f t="shared" si="11"/>
        <v>151271</v>
      </c>
      <c r="I48" s="573"/>
      <c r="J48" s="300">
        <f>D48*I48</f>
        <v>0</v>
      </c>
      <c r="K48" s="297" t="s">
        <v>167</v>
      </c>
      <c r="L48" s="297" t="s">
        <v>168</v>
      </c>
      <c r="M48" s="534"/>
    </row>
    <row r="49" spans="1:13" s="568" customFormat="1">
      <c r="A49" s="536" t="s">
        <v>169</v>
      </c>
      <c r="B49" s="537" t="s">
        <v>170</v>
      </c>
      <c r="C49" s="538"/>
      <c r="D49" s="539"/>
      <c r="E49" s="545"/>
      <c r="F49" s="290"/>
      <c r="G49" s="581"/>
      <c r="H49" s="290"/>
      <c r="I49" s="573"/>
      <c r="J49" s="300"/>
      <c r="K49" s="610"/>
      <c r="L49" s="610"/>
      <c r="M49" s="534"/>
    </row>
    <row r="50" spans="1:13" s="568" customFormat="1" ht="144">
      <c r="A50" s="536" t="s">
        <v>171</v>
      </c>
      <c r="B50" s="537" t="s">
        <v>172</v>
      </c>
      <c r="C50" s="538" t="s">
        <v>113</v>
      </c>
      <c r="D50" s="539">
        <v>116</v>
      </c>
      <c r="E50" s="545">
        <v>1559.79</v>
      </c>
      <c r="F50" s="290">
        <f t="shared" ref="F50:F52" si="12">D50*E50</f>
        <v>180936</v>
      </c>
      <c r="G50" s="581">
        <v>1127.3599999999999</v>
      </c>
      <c r="H50" s="290">
        <f t="shared" si="11"/>
        <v>130774</v>
      </c>
      <c r="I50" s="573"/>
      <c r="J50" s="300">
        <f>D50*I50</f>
        <v>0</v>
      </c>
      <c r="K50" s="297" t="s">
        <v>173</v>
      </c>
      <c r="L50" s="297" t="s">
        <v>174</v>
      </c>
      <c r="M50" s="534"/>
    </row>
    <row r="51" spans="1:13" s="568" customFormat="1" ht="120">
      <c r="A51" s="536" t="s">
        <v>175</v>
      </c>
      <c r="B51" s="537" t="s">
        <v>176</v>
      </c>
      <c r="C51" s="538" t="s">
        <v>164</v>
      </c>
      <c r="D51" s="539">
        <v>23914.240000000002</v>
      </c>
      <c r="E51" s="545">
        <v>10.06</v>
      </c>
      <c r="F51" s="290">
        <f t="shared" si="12"/>
        <v>240577</v>
      </c>
      <c r="G51" s="581">
        <v>6.64</v>
      </c>
      <c r="H51" s="290">
        <f t="shared" si="11"/>
        <v>158791</v>
      </c>
      <c r="I51" s="573"/>
      <c r="J51" s="300">
        <f>D51*I51</f>
        <v>0</v>
      </c>
      <c r="K51" s="297" t="s">
        <v>177</v>
      </c>
      <c r="L51" s="297" t="s">
        <v>178</v>
      </c>
      <c r="M51" s="534"/>
    </row>
    <row r="52" spans="1:13" s="568" customFormat="1" ht="120">
      <c r="A52" s="536" t="s">
        <v>183</v>
      </c>
      <c r="B52" s="537" t="s">
        <v>296</v>
      </c>
      <c r="C52" s="538" t="s">
        <v>185</v>
      </c>
      <c r="D52" s="539">
        <v>893</v>
      </c>
      <c r="E52" s="545">
        <v>41.04</v>
      </c>
      <c r="F52" s="290">
        <f t="shared" si="12"/>
        <v>36649</v>
      </c>
      <c r="G52" s="581">
        <v>21</v>
      </c>
      <c r="H52" s="290">
        <f t="shared" si="11"/>
        <v>18753</v>
      </c>
      <c r="I52" s="573"/>
      <c r="J52" s="300">
        <f>D52*I52</f>
        <v>0</v>
      </c>
      <c r="K52" s="297" t="s">
        <v>186</v>
      </c>
      <c r="L52" s="297" t="s">
        <v>1513</v>
      </c>
      <c r="M52" s="534"/>
    </row>
    <row r="53" spans="1:13" s="568" customFormat="1">
      <c r="A53" s="536" t="s">
        <v>187</v>
      </c>
      <c r="B53" s="537" t="s">
        <v>188</v>
      </c>
      <c r="C53" s="538"/>
      <c r="D53" s="539"/>
      <c r="E53" s="545"/>
      <c r="F53" s="290"/>
      <c r="G53" s="581"/>
      <c r="H53" s="290"/>
      <c r="I53" s="573"/>
      <c r="J53" s="300"/>
      <c r="K53" s="297"/>
      <c r="L53" s="297"/>
      <c r="M53" s="534"/>
    </row>
    <row r="54" spans="1:13" s="568" customFormat="1" ht="120">
      <c r="A54" s="536" t="s">
        <v>189</v>
      </c>
      <c r="B54" s="537" t="s">
        <v>285</v>
      </c>
      <c r="C54" s="538" t="s">
        <v>95</v>
      </c>
      <c r="D54" s="539">
        <v>242</v>
      </c>
      <c r="E54" s="545">
        <v>1164.1400000000001</v>
      </c>
      <c r="F54" s="290">
        <f>D54*E54</f>
        <v>281722</v>
      </c>
      <c r="G54" s="581">
        <v>238.21</v>
      </c>
      <c r="H54" s="290">
        <f t="shared" si="11"/>
        <v>57647</v>
      </c>
      <c r="I54" s="573"/>
      <c r="J54" s="300">
        <f>D54*I54</f>
        <v>0</v>
      </c>
      <c r="K54" s="297" t="s">
        <v>191</v>
      </c>
      <c r="L54" s="297" t="s">
        <v>1516</v>
      </c>
      <c r="M54" s="534"/>
    </row>
    <row r="55" spans="1:13" s="568" customFormat="1">
      <c r="A55" s="536" t="s">
        <v>192</v>
      </c>
      <c r="B55" s="537" t="s">
        <v>193</v>
      </c>
      <c r="C55" s="538"/>
      <c r="D55" s="539"/>
      <c r="E55" s="545"/>
      <c r="F55" s="290"/>
      <c r="G55" s="581"/>
      <c r="H55" s="290"/>
      <c r="I55" s="573"/>
      <c r="J55" s="300"/>
      <c r="K55" s="297"/>
      <c r="L55" s="297"/>
      <c r="M55" s="534"/>
    </row>
    <row r="56" spans="1:13" s="568" customFormat="1" ht="96">
      <c r="A56" s="536" t="s">
        <v>194</v>
      </c>
      <c r="B56" s="537" t="s">
        <v>195</v>
      </c>
      <c r="C56" s="538" t="s">
        <v>140</v>
      </c>
      <c r="D56" s="539">
        <v>100</v>
      </c>
      <c r="E56" s="545">
        <v>136.88</v>
      </c>
      <c r="F56" s="290">
        <f>D56*E56</f>
        <v>13688</v>
      </c>
      <c r="G56" s="581">
        <v>68.400000000000006</v>
      </c>
      <c r="H56" s="290">
        <f t="shared" si="11"/>
        <v>6840</v>
      </c>
      <c r="I56" s="573"/>
      <c r="J56" s="300">
        <f>D56*I56</f>
        <v>0</v>
      </c>
      <c r="K56" s="297" t="s">
        <v>196</v>
      </c>
      <c r="L56" s="297" t="s">
        <v>1522</v>
      </c>
      <c r="M56" s="534"/>
    </row>
    <row r="57" spans="1:13" s="568" customFormat="1">
      <c r="A57" s="536" t="s">
        <v>197</v>
      </c>
      <c r="B57" s="537" t="s">
        <v>198</v>
      </c>
      <c r="C57" s="538"/>
      <c r="D57" s="539"/>
      <c r="E57" s="545"/>
      <c r="F57" s="290"/>
      <c r="G57" s="581"/>
      <c r="H57" s="290"/>
      <c r="I57" s="573"/>
      <c r="J57" s="300"/>
      <c r="K57" s="297"/>
      <c r="L57" s="297"/>
      <c r="M57" s="534"/>
    </row>
    <row r="58" spans="1:13" s="568" customFormat="1" ht="132">
      <c r="A58" s="536" t="s">
        <v>199</v>
      </c>
      <c r="B58" s="537" t="s">
        <v>200</v>
      </c>
      <c r="C58" s="538" t="s">
        <v>95</v>
      </c>
      <c r="D58" s="539">
        <v>506</v>
      </c>
      <c r="E58" s="545">
        <v>751.08</v>
      </c>
      <c r="F58" s="290">
        <f>D58*E58</f>
        <v>380046</v>
      </c>
      <c r="G58" s="581">
        <v>51.03</v>
      </c>
      <c r="H58" s="290">
        <f t="shared" si="11"/>
        <v>25821</v>
      </c>
      <c r="I58" s="573"/>
      <c r="J58" s="300">
        <f>D58*I58</f>
        <v>0</v>
      </c>
      <c r="K58" s="297" t="s">
        <v>201</v>
      </c>
      <c r="L58" s="297" t="s">
        <v>1517</v>
      </c>
      <c r="M58" s="534"/>
    </row>
    <row r="59" spans="1:13" s="568" customFormat="1">
      <c r="A59" s="536" t="s">
        <v>202</v>
      </c>
      <c r="B59" s="537" t="s">
        <v>203</v>
      </c>
      <c r="C59" s="538"/>
      <c r="D59" s="539"/>
      <c r="E59" s="545"/>
      <c r="F59" s="290"/>
      <c r="G59" s="581"/>
      <c r="H59" s="290"/>
      <c r="I59" s="573"/>
      <c r="J59" s="300"/>
      <c r="K59" s="297"/>
      <c r="L59" s="297"/>
      <c r="M59" s="534"/>
    </row>
    <row r="60" spans="1:13" s="568" customFormat="1">
      <c r="A60" s="536" t="s">
        <v>214</v>
      </c>
      <c r="B60" s="537" t="s">
        <v>215</v>
      </c>
      <c r="C60" s="538"/>
      <c r="D60" s="539"/>
      <c r="E60" s="545"/>
      <c r="F60" s="290"/>
      <c r="G60" s="581"/>
      <c r="H60" s="290"/>
      <c r="I60" s="573"/>
      <c r="J60" s="300"/>
      <c r="K60" s="297"/>
      <c r="L60" s="297"/>
      <c r="M60" s="534"/>
    </row>
    <row r="61" spans="1:13" s="568" customFormat="1" ht="96">
      <c r="A61" s="536" t="s">
        <v>216</v>
      </c>
      <c r="B61" s="537" t="s">
        <v>217</v>
      </c>
      <c r="C61" s="538" t="s">
        <v>95</v>
      </c>
      <c r="D61" s="539">
        <v>32.396000000000001</v>
      </c>
      <c r="E61" s="545">
        <v>1209.8499999999999</v>
      </c>
      <c r="F61" s="290">
        <f t="shared" ref="F61:F65" si="13">D61*E61</f>
        <v>39194</v>
      </c>
      <c r="G61" s="581">
        <v>280</v>
      </c>
      <c r="H61" s="290">
        <f t="shared" ref="H61:H65" si="14">G61*D61</f>
        <v>9071</v>
      </c>
      <c r="I61" s="573"/>
      <c r="J61" s="300">
        <f>D61*I61</f>
        <v>0</v>
      </c>
      <c r="K61" s="297" t="s">
        <v>201</v>
      </c>
      <c r="L61" s="297" t="s">
        <v>1518</v>
      </c>
      <c r="M61" s="534"/>
    </row>
    <row r="62" spans="1:13" s="568" customFormat="1" ht="156">
      <c r="A62" s="536" t="s">
        <v>218</v>
      </c>
      <c r="B62" s="537" t="s">
        <v>219</v>
      </c>
      <c r="C62" s="538" t="s">
        <v>95</v>
      </c>
      <c r="D62" s="539">
        <v>143.6</v>
      </c>
      <c r="E62" s="545">
        <v>879.78</v>
      </c>
      <c r="F62" s="290">
        <f t="shared" si="13"/>
        <v>126336</v>
      </c>
      <c r="G62" s="581">
        <v>212.47</v>
      </c>
      <c r="H62" s="290">
        <f t="shared" si="14"/>
        <v>30511</v>
      </c>
      <c r="I62" s="573"/>
      <c r="J62" s="300">
        <f>D62*I62</f>
        <v>0</v>
      </c>
      <c r="K62" s="297" t="s">
        <v>201</v>
      </c>
      <c r="L62" s="297" t="s">
        <v>1519</v>
      </c>
      <c r="M62" s="534"/>
    </row>
    <row r="63" spans="1:13" s="568" customFormat="1" ht="120">
      <c r="A63" s="536" t="s">
        <v>220</v>
      </c>
      <c r="B63" s="537" t="s">
        <v>265</v>
      </c>
      <c r="C63" s="538" t="s">
        <v>164</v>
      </c>
      <c r="D63" s="539">
        <v>15208</v>
      </c>
      <c r="E63" s="545">
        <v>5.88</v>
      </c>
      <c r="F63" s="290">
        <f t="shared" si="13"/>
        <v>89423</v>
      </c>
      <c r="G63" s="581">
        <v>0.72</v>
      </c>
      <c r="H63" s="290">
        <f t="shared" si="14"/>
        <v>10950</v>
      </c>
      <c r="I63" s="573"/>
      <c r="J63" s="300">
        <f>D63*I63</f>
        <v>0</v>
      </c>
      <c r="K63" s="297" t="s">
        <v>165</v>
      </c>
      <c r="L63" s="297" t="s">
        <v>1512</v>
      </c>
      <c r="M63" s="534"/>
    </row>
    <row r="64" spans="1:13" s="568" customFormat="1" ht="108">
      <c r="A64" s="536" t="s">
        <v>222</v>
      </c>
      <c r="B64" s="537" t="s">
        <v>223</v>
      </c>
      <c r="C64" s="538" t="s">
        <v>164</v>
      </c>
      <c r="D64" s="539">
        <v>387</v>
      </c>
      <c r="E64" s="545">
        <v>11.05</v>
      </c>
      <c r="F64" s="290">
        <f t="shared" si="13"/>
        <v>4276</v>
      </c>
      <c r="G64" s="581">
        <v>9.09</v>
      </c>
      <c r="H64" s="290">
        <f t="shared" si="14"/>
        <v>3518</v>
      </c>
      <c r="I64" s="573"/>
      <c r="J64" s="300">
        <f>D64*I64</f>
        <v>0</v>
      </c>
      <c r="K64" s="297" t="s">
        <v>181</v>
      </c>
      <c r="L64" s="297" t="s">
        <v>224</v>
      </c>
      <c r="M64" s="579"/>
    </row>
    <row r="65" spans="1:13" s="568" customFormat="1" ht="84">
      <c r="A65" s="536" t="s">
        <v>225</v>
      </c>
      <c r="B65" s="537" t="s">
        <v>226</v>
      </c>
      <c r="C65" s="538" t="s">
        <v>164</v>
      </c>
      <c r="D65" s="539">
        <v>1209</v>
      </c>
      <c r="E65" s="545">
        <v>13.5</v>
      </c>
      <c r="F65" s="290">
        <f t="shared" si="13"/>
        <v>16322</v>
      </c>
      <c r="G65" s="581">
        <v>11</v>
      </c>
      <c r="H65" s="290">
        <f t="shared" si="14"/>
        <v>13299</v>
      </c>
      <c r="I65" s="573"/>
      <c r="J65" s="300">
        <f>D65*I65</f>
        <v>0</v>
      </c>
      <c r="K65" s="297" t="s">
        <v>227</v>
      </c>
      <c r="L65" s="297" t="s">
        <v>228</v>
      </c>
      <c r="M65" s="579"/>
    </row>
    <row r="66" spans="1:13" s="568" customFormat="1">
      <c r="A66" s="536" t="s">
        <v>229</v>
      </c>
      <c r="B66" s="537" t="s">
        <v>230</v>
      </c>
      <c r="C66" s="538"/>
      <c r="D66" s="539"/>
      <c r="E66" s="545"/>
      <c r="F66" s="290"/>
      <c r="G66" s="581"/>
      <c r="H66" s="290"/>
      <c r="I66" s="573"/>
      <c r="J66" s="300"/>
      <c r="K66" s="297"/>
      <c r="L66" s="297"/>
      <c r="M66" s="579"/>
    </row>
    <row r="67" spans="1:13" s="568" customFormat="1">
      <c r="A67" s="536" t="s">
        <v>231</v>
      </c>
      <c r="B67" s="537" t="s">
        <v>232</v>
      </c>
      <c r="C67" s="538"/>
      <c r="D67" s="539"/>
      <c r="E67" s="545"/>
      <c r="F67" s="290"/>
      <c r="G67" s="581"/>
      <c r="H67" s="290"/>
      <c r="I67" s="573"/>
      <c r="J67" s="300"/>
      <c r="K67" s="297"/>
      <c r="L67" s="297"/>
      <c r="M67" s="579"/>
    </row>
    <row r="68" spans="1:13" s="568" customFormat="1">
      <c r="A68" s="536" t="s">
        <v>233</v>
      </c>
      <c r="B68" s="537" t="s">
        <v>234</v>
      </c>
      <c r="C68" s="538"/>
      <c r="D68" s="539"/>
      <c r="E68" s="545"/>
      <c r="F68" s="290"/>
      <c r="G68" s="581"/>
      <c r="H68" s="290"/>
      <c r="I68" s="573"/>
      <c r="J68" s="300"/>
      <c r="K68" s="297"/>
      <c r="L68" s="297"/>
      <c r="M68" s="579"/>
    </row>
    <row r="69" spans="1:13" s="568" customFormat="1" ht="168">
      <c r="A69" s="536" t="s">
        <v>235</v>
      </c>
      <c r="B69" s="537" t="s">
        <v>236</v>
      </c>
      <c r="C69" s="538" t="s">
        <v>113</v>
      </c>
      <c r="D69" s="539">
        <v>1012.5</v>
      </c>
      <c r="E69" s="545">
        <v>200.19</v>
      </c>
      <c r="F69" s="290">
        <f t="shared" ref="F69:F73" si="15">D69*E69</f>
        <v>202692</v>
      </c>
      <c r="G69" s="581">
        <v>17.86</v>
      </c>
      <c r="H69" s="290">
        <f t="shared" ref="H69:H73" si="16">G69*D69</f>
        <v>18083</v>
      </c>
      <c r="I69" s="573"/>
      <c r="J69" s="300">
        <f>D69*I69</f>
        <v>0</v>
      </c>
      <c r="K69" s="297" t="s">
        <v>237</v>
      </c>
      <c r="L69" s="297" t="s">
        <v>1520</v>
      </c>
      <c r="M69" s="534"/>
    </row>
    <row r="70" spans="1:13" s="568" customFormat="1" ht="132">
      <c r="A70" s="536" t="s">
        <v>240</v>
      </c>
      <c r="B70" s="537" t="s">
        <v>241</v>
      </c>
      <c r="C70" s="538" t="s">
        <v>164</v>
      </c>
      <c r="D70" s="539">
        <v>20776</v>
      </c>
      <c r="E70" s="545">
        <v>5.16</v>
      </c>
      <c r="F70" s="290">
        <f t="shared" si="15"/>
        <v>107204</v>
      </c>
      <c r="G70" s="581">
        <v>0.6</v>
      </c>
      <c r="H70" s="290">
        <f t="shared" si="16"/>
        <v>12466</v>
      </c>
      <c r="I70" s="573"/>
      <c r="J70" s="300">
        <f>D70*I70</f>
        <v>0</v>
      </c>
      <c r="K70" s="297" t="s">
        <v>242</v>
      </c>
      <c r="L70" s="297" t="s">
        <v>1514</v>
      </c>
      <c r="M70" s="534"/>
    </row>
    <row r="71" spans="1:13" s="568" customFormat="1" ht="84">
      <c r="A71" s="536" t="s">
        <v>243</v>
      </c>
      <c r="B71" s="537" t="s">
        <v>244</v>
      </c>
      <c r="C71" s="538" t="s">
        <v>95</v>
      </c>
      <c r="D71" s="539">
        <v>344</v>
      </c>
      <c r="E71" s="545">
        <v>151.91</v>
      </c>
      <c r="F71" s="290">
        <f t="shared" si="15"/>
        <v>52257</v>
      </c>
      <c r="G71" s="581">
        <v>82</v>
      </c>
      <c r="H71" s="290">
        <f t="shared" si="16"/>
        <v>28208</v>
      </c>
      <c r="I71" s="573"/>
      <c r="J71" s="300">
        <f>D71*I71</f>
        <v>0</v>
      </c>
      <c r="K71" s="297" t="s">
        <v>245</v>
      </c>
      <c r="L71" s="297" t="s">
        <v>246</v>
      </c>
      <c r="M71" s="534"/>
    </row>
    <row r="72" spans="1:13" s="568" customFormat="1" ht="84">
      <c r="A72" s="536" t="s">
        <v>247</v>
      </c>
      <c r="B72" s="537" t="s">
        <v>248</v>
      </c>
      <c r="C72" s="538" t="s">
        <v>95</v>
      </c>
      <c r="D72" s="539">
        <v>850</v>
      </c>
      <c r="E72" s="545">
        <v>56.92</v>
      </c>
      <c r="F72" s="290">
        <f t="shared" si="15"/>
        <v>48382</v>
      </c>
      <c r="G72" s="581">
        <v>20</v>
      </c>
      <c r="H72" s="290">
        <f t="shared" si="16"/>
        <v>17000</v>
      </c>
      <c r="I72" s="573"/>
      <c r="J72" s="300">
        <f>D72*I72</f>
        <v>0</v>
      </c>
      <c r="K72" s="297" t="s">
        <v>103</v>
      </c>
      <c r="L72" s="297" t="s">
        <v>297</v>
      </c>
      <c r="M72" s="579"/>
    </row>
    <row r="73" spans="1:13" s="568" customFormat="1" ht="84">
      <c r="A73" s="536" t="s">
        <v>249</v>
      </c>
      <c r="B73" s="537" t="s">
        <v>250</v>
      </c>
      <c r="C73" s="538" t="s">
        <v>95</v>
      </c>
      <c r="D73" s="539">
        <v>506</v>
      </c>
      <c r="E73" s="545">
        <v>15.03</v>
      </c>
      <c r="F73" s="290">
        <f t="shared" si="15"/>
        <v>7605</v>
      </c>
      <c r="G73" s="581">
        <v>13</v>
      </c>
      <c r="H73" s="290">
        <f t="shared" si="16"/>
        <v>6578</v>
      </c>
      <c r="I73" s="573"/>
      <c r="J73" s="300">
        <f>D73*I73</f>
        <v>0</v>
      </c>
      <c r="K73" s="297" t="s">
        <v>251</v>
      </c>
      <c r="L73" s="297" t="s">
        <v>246</v>
      </c>
      <c r="M73" s="579"/>
    </row>
    <row r="74" spans="1:13" s="568" customFormat="1">
      <c r="A74" s="541">
        <v>600</v>
      </c>
      <c r="B74" s="542" t="s">
        <v>252</v>
      </c>
      <c r="C74" s="538"/>
      <c r="D74" s="543"/>
      <c r="E74" s="582"/>
      <c r="F74" s="288"/>
      <c r="G74" s="582"/>
      <c r="H74" s="288"/>
      <c r="I74" s="608"/>
      <c r="J74" s="293"/>
      <c r="K74" s="294"/>
      <c r="L74" s="294"/>
      <c r="M74" s="579"/>
    </row>
    <row r="75" spans="1:13" s="568" customFormat="1" ht="13.2">
      <c r="A75" s="536">
        <v>605</v>
      </c>
      <c r="B75" s="537" t="s">
        <v>253</v>
      </c>
      <c r="C75" s="538"/>
      <c r="D75" s="545"/>
      <c r="E75" s="603"/>
      <c r="F75" s="288"/>
      <c r="G75" s="582"/>
      <c r="H75" s="288"/>
      <c r="I75" s="608"/>
      <c r="J75" s="293"/>
      <c r="K75" s="294"/>
      <c r="L75" s="294"/>
      <c r="M75" s="579"/>
    </row>
    <row r="76" spans="1:13" s="568" customFormat="1" ht="13.2">
      <c r="A76" s="536" t="s">
        <v>254</v>
      </c>
      <c r="B76" s="537" t="s">
        <v>255</v>
      </c>
      <c r="C76" s="538"/>
      <c r="D76" s="545"/>
      <c r="E76" s="603"/>
      <c r="F76" s="288"/>
      <c r="G76" s="582"/>
      <c r="H76" s="288"/>
      <c r="I76" s="608"/>
      <c r="J76" s="293"/>
      <c r="K76" s="294"/>
      <c r="L76" s="294"/>
      <c r="M76" s="579"/>
    </row>
    <row r="77" spans="1:13" s="568" customFormat="1" ht="84">
      <c r="A77" s="536" t="s">
        <v>256</v>
      </c>
      <c r="B77" s="537" t="s">
        <v>257</v>
      </c>
      <c r="C77" s="538" t="s">
        <v>113</v>
      </c>
      <c r="D77" s="545">
        <v>65.25</v>
      </c>
      <c r="E77" s="545">
        <v>43.84</v>
      </c>
      <c r="F77" s="290">
        <f>D77*E77</f>
        <v>2861</v>
      </c>
      <c r="G77" s="581">
        <v>32.68</v>
      </c>
      <c r="H77" s="290">
        <f t="shared" ref="H77" si="17">G77*D77</f>
        <v>2132</v>
      </c>
      <c r="I77" s="573"/>
      <c r="J77" s="300">
        <f>D77*I77</f>
        <v>0</v>
      </c>
      <c r="K77" s="297" t="s">
        <v>258</v>
      </c>
      <c r="L77" s="297" t="s">
        <v>259</v>
      </c>
      <c r="M77" s="579"/>
    </row>
    <row r="78" spans="1:13" s="576" customFormat="1" ht="19.2">
      <c r="A78" s="583" t="s">
        <v>260</v>
      </c>
      <c r="B78" s="584"/>
      <c r="C78" s="530"/>
      <c r="D78" s="531"/>
      <c r="E78" s="598"/>
      <c r="F78" s="348">
        <f t="shared" ref="F78:J78" si="18">SUM(F6:F77)</f>
        <v>3735154</v>
      </c>
      <c r="G78" s="585"/>
      <c r="H78" s="348">
        <f t="shared" si="18"/>
        <v>1580608</v>
      </c>
      <c r="I78" s="609"/>
      <c r="J78" s="348">
        <f t="shared" si="18"/>
        <v>29338</v>
      </c>
      <c r="K78" s="347"/>
      <c r="L78" s="347"/>
      <c r="M78" s="580"/>
    </row>
  </sheetData>
  <sheetProtection algorithmName="SHA-512" hashValue="mBXmcE6q19aqkh4xxVkQprWoz86SdQkbc/kKd4AwCEQRQIhsrD6k1HhjFx+YdjBxdM1obHXv3EWo043cgHrp1g==" saltValue="NMASYip3GM2xCv926MrPRw==" spinCount="100000" sheet="1" objects="1" scenarios="1"/>
  <mergeCells count="16">
    <mergeCell ref="A1:M1"/>
    <mergeCell ref="A2:I2"/>
    <mergeCell ref="A78:B78"/>
    <mergeCell ref="A4:A5"/>
    <mergeCell ref="B4:B5"/>
    <mergeCell ref="C4:C5"/>
    <mergeCell ref="D4:D5"/>
    <mergeCell ref="E4:E5"/>
    <mergeCell ref="F4:F5"/>
    <mergeCell ref="G4:G5"/>
    <mergeCell ref="H4:H5"/>
    <mergeCell ref="I4:I5"/>
    <mergeCell ref="J4:J5"/>
    <mergeCell ref="K4:K5"/>
    <mergeCell ref="L4:L5"/>
    <mergeCell ref="M4:M5"/>
  </mergeCells>
  <phoneticPr fontId="98" type="noConversion"/>
  <conditionalFormatting sqref="M3 C6:C74 N2:IN78 A7:B15 N1:IE1">
    <cfRule type="cellIs" dxfId="86" priority="8" operator="equal">
      <formula>0</formula>
    </cfRule>
  </conditionalFormatting>
  <conditionalFormatting sqref="M21">
    <cfRule type="cellIs" dxfId="85" priority="27" operator="equal">
      <formula>0</formula>
    </cfRule>
  </conditionalFormatting>
  <conditionalFormatting sqref="M35">
    <cfRule type="cellIs" dxfId="84" priority="26" operator="equal">
      <formula>0</formula>
    </cfRule>
  </conditionalFormatting>
  <conditionalFormatting sqref="M41">
    <cfRule type="cellIs" dxfId="83" priority="25" operator="equal">
      <formula>0</formula>
    </cfRule>
  </conditionalFormatting>
  <conditionalFormatting sqref="M43">
    <cfRule type="cellIs" dxfId="82" priority="24" operator="equal">
      <formula>0</formula>
    </cfRule>
  </conditionalFormatting>
  <conditionalFormatting sqref="M45">
    <cfRule type="cellIs" dxfId="81" priority="23" operator="equal">
      <formula>0</formula>
    </cfRule>
  </conditionalFormatting>
  <conditionalFormatting sqref="M47">
    <cfRule type="cellIs" dxfId="80" priority="16" operator="equal">
      <formula>0</formula>
    </cfRule>
  </conditionalFormatting>
  <conditionalFormatting sqref="M52">
    <cfRule type="cellIs" dxfId="79" priority="15" operator="equal">
      <formula>0</formula>
    </cfRule>
  </conditionalFormatting>
  <conditionalFormatting sqref="M54">
    <cfRule type="cellIs" dxfId="78" priority="9" operator="equal">
      <formula>0</formula>
    </cfRule>
  </conditionalFormatting>
  <conditionalFormatting sqref="M58">
    <cfRule type="cellIs" dxfId="77" priority="14" operator="equal">
      <formula>0</formula>
    </cfRule>
  </conditionalFormatting>
  <conditionalFormatting sqref="M63">
    <cfRule type="cellIs" dxfId="76" priority="12" operator="equal">
      <formula>0</formula>
    </cfRule>
  </conditionalFormatting>
  <conditionalFormatting sqref="M69">
    <cfRule type="cellIs" dxfId="75" priority="11" operator="equal">
      <formula>0</formula>
    </cfRule>
  </conditionalFormatting>
  <conditionalFormatting sqref="M70">
    <cfRule type="cellIs" dxfId="74" priority="10" operator="equal">
      <formula>0</formula>
    </cfRule>
  </conditionalFormatting>
  <conditionalFormatting sqref="M71">
    <cfRule type="cellIs" dxfId="73" priority="19" operator="equal">
      <formula>0</formula>
    </cfRule>
  </conditionalFormatting>
  <conditionalFormatting sqref="C75:C77">
    <cfRule type="cellIs" dxfId="72" priority="17" operator="equal">
      <formula>0</formula>
    </cfRule>
  </conditionalFormatting>
  <conditionalFormatting sqref="M61:M62">
    <cfRule type="cellIs" dxfId="71" priority="13" operator="equal">
      <formula>0</formula>
    </cfRule>
  </conditionalFormatting>
  <conditionalFormatting sqref="A3:L3 A4:D4 A5:C5 C78 A2 J2:L2">
    <cfRule type="cellIs" dxfId="70" priority="30" operator="equal">
      <formula>0</formula>
    </cfRule>
  </conditionalFormatting>
  <conditionalFormatting sqref="M2 M4">
    <cfRule type="cellIs" dxfId="69" priority="29" operator="equal">
      <formula>0</formula>
    </cfRule>
  </conditionalFormatting>
  <conditionalFormatting sqref="M48:M51 M53 M59:M60 M55:M57">
    <cfRule type="cellIs" dxfId="68" priority="22" operator="equal">
      <formula>0</formula>
    </cfRule>
  </conditionalFormatting>
  <conditionalFormatting sqref="A1">
    <cfRule type="cellIs" dxfId="67" priority="2" operator="equal">
      <formula>0</formula>
    </cfRule>
  </conditionalFormatting>
  <printOptions horizontalCentered="1"/>
  <pageMargins left="0.31496062992126" right="0.31496062992126" top="0.74803149606299202" bottom="0.74803149606299202" header="0.31496062992126" footer="0.31496062992126"/>
  <pageSetup paperSize="9" scale="65" fitToHeight="0" orientation="landscape" r:id="rId1"/>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40"/>
  <sheetViews>
    <sheetView zoomScale="70" zoomScaleNormal="70" workbookViewId="0">
      <selection activeCellId="8" sqref="J33:M40 A33:H40 J28:M32 A28:H32 J21:M27 A21:H27 J10:M20 A10:H20 A1:M9"/>
    </sheetView>
  </sheetViews>
  <sheetFormatPr defaultColWidth="9.109375" defaultRowHeight="12"/>
  <cols>
    <col min="1" max="1" width="18.77734375" style="498" customWidth="1"/>
    <col min="2" max="2" width="27" style="498" customWidth="1"/>
    <col min="3" max="3" width="6.6640625" style="566" customWidth="1"/>
    <col min="4" max="4" width="10.77734375" style="577" customWidth="1"/>
    <col min="5" max="5" width="9.6640625" style="498" hidden="1" customWidth="1"/>
    <col min="6" max="6" width="14.5546875" style="498" hidden="1" customWidth="1"/>
    <col min="7" max="7" width="9.88671875" style="498" customWidth="1"/>
    <col min="8" max="8" width="15.77734375" style="498" customWidth="1"/>
    <col min="9" max="9" width="11.5546875" style="498" customWidth="1"/>
    <col min="10" max="10" width="15.77734375" style="498" customWidth="1"/>
    <col min="11" max="11" width="22.88671875" style="602" customWidth="1"/>
    <col min="12" max="12" width="61.33203125" style="602" customWidth="1"/>
    <col min="13" max="13" width="19.77734375" style="566" customWidth="1"/>
    <col min="14" max="14" width="9.109375" style="498"/>
    <col min="15" max="16" width="11.33203125" style="498" customWidth="1"/>
    <col min="17" max="17" width="25" style="498" customWidth="1"/>
    <col min="18" max="16384" width="9.109375" style="498"/>
  </cols>
  <sheetData>
    <row r="1" spans="1:13" s="495" customFormat="1" ht="55.8" customHeight="1">
      <c r="A1" s="499" t="s">
        <v>1527</v>
      </c>
      <c r="B1" s="499"/>
      <c r="C1" s="499"/>
      <c r="D1" s="499"/>
      <c r="E1" s="499"/>
      <c r="F1" s="499"/>
      <c r="G1" s="499"/>
      <c r="H1" s="499"/>
      <c r="I1" s="549"/>
      <c r="J1" s="499"/>
      <c r="K1" s="499"/>
      <c r="L1" s="499"/>
      <c r="M1" s="499"/>
    </row>
    <row r="2" spans="1:13" ht="18.75" customHeight="1">
      <c r="A2" s="550" t="s">
        <v>298</v>
      </c>
      <c r="B2" s="550"/>
      <c r="C2" s="550"/>
      <c r="D2" s="550"/>
      <c r="E2" s="550"/>
      <c r="F2" s="550"/>
      <c r="G2" s="550"/>
      <c r="H2" s="550"/>
      <c r="I2" s="587"/>
      <c r="J2" s="588"/>
      <c r="K2" s="606"/>
      <c r="L2" s="606"/>
      <c r="M2" s="590"/>
    </row>
    <row r="3" spans="1:13" ht="18.75" customHeight="1">
      <c r="A3" s="591" t="s">
        <v>55</v>
      </c>
      <c r="B3" s="591"/>
      <c r="C3" s="592"/>
      <c r="D3" s="593"/>
      <c r="E3" s="591"/>
      <c r="F3" s="594"/>
      <c r="G3" s="594"/>
      <c r="H3" s="594"/>
      <c r="I3" s="595"/>
      <c r="J3" s="594"/>
      <c r="K3" s="591"/>
      <c r="L3" s="591"/>
      <c r="M3" s="503" t="s">
        <v>39</v>
      </c>
    </row>
    <row r="4" spans="1:13" ht="20.100000000000001" customHeight="1">
      <c r="A4" s="378" t="s">
        <v>56</v>
      </c>
      <c r="B4" s="380" t="s">
        <v>57</v>
      </c>
      <c r="C4" s="380" t="s">
        <v>58</v>
      </c>
      <c r="D4" s="557" t="s">
        <v>59</v>
      </c>
      <c r="E4" s="558" t="s">
        <v>60</v>
      </c>
      <c r="F4" s="380" t="s">
        <v>61</v>
      </c>
      <c r="G4" s="558" t="s">
        <v>1528</v>
      </c>
      <c r="H4" s="371" t="s">
        <v>1529</v>
      </c>
      <c r="I4" s="375" t="s">
        <v>1530</v>
      </c>
      <c r="J4" s="377" t="s">
        <v>1531</v>
      </c>
      <c r="K4" s="377" t="s">
        <v>62</v>
      </c>
      <c r="L4" s="377" t="s">
        <v>63</v>
      </c>
      <c r="M4" s="600" t="s">
        <v>12</v>
      </c>
    </row>
    <row r="5" spans="1:13" ht="20.100000000000001" customHeight="1">
      <c r="A5" s="379"/>
      <c r="B5" s="381"/>
      <c r="C5" s="381"/>
      <c r="D5" s="560"/>
      <c r="E5" s="561"/>
      <c r="F5" s="381"/>
      <c r="G5" s="561"/>
      <c r="H5" s="372"/>
      <c r="I5" s="376"/>
      <c r="J5" s="376"/>
      <c r="K5" s="376"/>
      <c r="L5" s="376"/>
      <c r="M5" s="601"/>
    </row>
    <row r="6" spans="1:13" s="568" customFormat="1">
      <c r="A6" s="541">
        <v>100</v>
      </c>
      <c r="B6" s="542" t="s">
        <v>64</v>
      </c>
      <c r="C6" s="288"/>
      <c r="D6" s="543"/>
      <c r="E6" s="582"/>
      <c r="F6" s="288"/>
      <c r="G6" s="582"/>
      <c r="H6" s="288"/>
      <c r="I6" s="293"/>
      <c r="J6" s="293"/>
      <c r="K6" s="294"/>
      <c r="L6" s="294"/>
      <c r="M6" s="579"/>
    </row>
    <row r="7" spans="1:13" s="568" customFormat="1">
      <c r="A7" s="536">
        <v>102</v>
      </c>
      <c r="B7" s="537" t="s">
        <v>66</v>
      </c>
      <c r="C7" s="538"/>
      <c r="D7" s="539"/>
      <c r="E7" s="545"/>
      <c r="F7" s="288"/>
      <c r="G7" s="582"/>
      <c r="H7" s="288"/>
      <c r="I7" s="293"/>
      <c r="J7" s="293"/>
      <c r="K7" s="294"/>
      <c r="L7" s="294"/>
      <c r="M7" s="579"/>
    </row>
    <row r="8" spans="1:13" s="568" customFormat="1" ht="64.95" customHeight="1">
      <c r="A8" s="536" t="s">
        <v>67</v>
      </c>
      <c r="B8" s="537" t="s">
        <v>68</v>
      </c>
      <c r="C8" s="538" t="s">
        <v>65</v>
      </c>
      <c r="D8" s="539">
        <v>1</v>
      </c>
      <c r="E8" s="545">
        <v>3391.35</v>
      </c>
      <c r="F8" s="290">
        <f>D8*E8</f>
        <v>3391</v>
      </c>
      <c r="G8" s="596">
        <v>987</v>
      </c>
      <c r="H8" s="290">
        <f t="shared" ref="H8:H9" si="0">G8*D8</f>
        <v>987</v>
      </c>
      <c r="I8" s="597">
        <v>987</v>
      </c>
      <c r="J8" s="300">
        <f>D8*I8</f>
        <v>987</v>
      </c>
      <c r="K8" s="296" t="s">
        <v>69</v>
      </c>
      <c r="L8" s="297" t="s">
        <v>70</v>
      </c>
      <c r="M8" s="578"/>
    </row>
    <row r="9" spans="1:13" s="568" customFormat="1" ht="132">
      <c r="A9" s="536" t="s">
        <v>71</v>
      </c>
      <c r="B9" s="537" t="s">
        <v>72</v>
      </c>
      <c r="C9" s="538" t="s">
        <v>65</v>
      </c>
      <c r="D9" s="539">
        <v>1</v>
      </c>
      <c r="E9" s="545">
        <v>19941</v>
      </c>
      <c r="F9" s="290">
        <f>D9*E9</f>
        <v>19941</v>
      </c>
      <c r="G9" s="596">
        <v>4535</v>
      </c>
      <c r="H9" s="290">
        <f t="shared" si="0"/>
        <v>4535</v>
      </c>
      <c r="I9" s="597">
        <v>4535</v>
      </c>
      <c r="J9" s="300">
        <f>D9*I9</f>
        <v>4535</v>
      </c>
      <c r="K9" s="296" t="s">
        <v>1536</v>
      </c>
      <c r="L9" s="297" t="s">
        <v>73</v>
      </c>
      <c r="M9" s="578"/>
    </row>
    <row r="10" spans="1:13" s="568" customFormat="1">
      <c r="A10" s="536" t="s">
        <v>74</v>
      </c>
      <c r="B10" s="537" t="s">
        <v>75</v>
      </c>
      <c r="C10" s="538"/>
      <c r="D10" s="539"/>
      <c r="E10" s="545"/>
      <c r="F10" s="288"/>
      <c r="G10" s="582"/>
      <c r="H10" s="288"/>
      <c r="I10" s="569"/>
      <c r="J10" s="293"/>
      <c r="K10" s="294"/>
      <c r="L10" s="294"/>
      <c r="M10" s="579"/>
    </row>
    <row r="11" spans="1:13" s="568" customFormat="1" ht="108">
      <c r="A11" s="536" t="s">
        <v>76</v>
      </c>
      <c r="B11" s="537" t="s">
        <v>77</v>
      </c>
      <c r="C11" s="538" t="s">
        <v>299</v>
      </c>
      <c r="D11" s="539">
        <v>90</v>
      </c>
      <c r="E11" s="545">
        <v>713.58</v>
      </c>
      <c r="F11" s="290">
        <f>D11*E11</f>
        <v>64222</v>
      </c>
      <c r="G11" s="547">
        <v>530</v>
      </c>
      <c r="H11" s="290">
        <f>G11*D11</f>
        <v>47700</v>
      </c>
      <c r="I11" s="570"/>
      <c r="J11" s="300">
        <f>D11*I11</f>
        <v>0</v>
      </c>
      <c r="K11" s="296" t="s">
        <v>79</v>
      </c>
      <c r="L11" s="296" t="s">
        <v>1511</v>
      </c>
      <c r="M11" s="579"/>
    </row>
    <row r="12" spans="1:13" s="568" customFormat="1">
      <c r="A12" s="536">
        <v>104</v>
      </c>
      <c r="B12" s="537" t="s">
        <v>81</v>
      </c>
      <c r="C12" s="538"/>
      <c r="D12" s="539"/>
      <c r="E12" s="545"/>
      <c r="F12" s="288"/>
      <c r="G12" s="582"/>
      <c r="H12" s="288"/>
      <c r="I12" s="569"/>
      <c r="J12" s="293"/>
      <c r="K12" s="296"/>
      <c r="L12" s="294"/>
      <c r="M12" s="579"/>
    </row>
    <row r="13" spans="1:13" s="568" customFormat="1" ht="24">
      <c r="A13" s="536" t="s">
        <v>82</v>
      </c>
      <c r="B13" s="537" t="s">
        <v>83</v>
      </c>
      <c r="C13" s="538" t="s">
        <v>65</v>
      </c>
      <c r="D13" s="539">
        <v>1</v>
      </c>
      <c r="E13" s="545">
        <v>9830</v>
      </c>
      <c r="F13" s="290">
        <f>D13*E13</f>
        <v>9830</v>
      </c>
      <c r="G13" s="547">
        <v>4915</v>
      </c>
      <c r="H13" s="290">
        <f>G13*D13</f>
        <v>4915</v>
      </c>
      <c r="I13" s="523"/>
      <c r="J13" s="300">
        <f>D13*I13</f>
        <v>0</v>
      </c>
      <c r="K13" s="296" t="s">
        <v>69</v>
      </c>
      <c r="L13" s="296" t="s">
        <v>84</v>
      </c>
      <c r="M13" s="579"/>
    </row>
    <row r="14" spans="1:13" s="568" customFormat="1">
      <c r="A14" s="536">
        <v>109</v>
      </c>
      <c r="B14" s="537" t="s">
        <v>85</v>
      </c>
      <c r="C14" s="538"/>
      <c r="D14" s="539"/>
      <c r="E14" s="545"/>
      <c r="F14" s="288"/>
      <c r="G14" s="582"/>
      <c r="H14" s="288"/>
      <c r="I14" s="569"/>
      <c r="J14" s="293"/>
      <c r="K14" s="296"/>
      <c r="L14" s="294"/>
      <c r="M14" s="579"/>
    </row>
    <row r="15" spans="1:13" s="568" customFormat="1" ht="79.95" customHeight="1">
      <c r="A15" s="536" t="s">
        <v>86</v>
      </c>
      <c r="B15" s="537" t="s">
        <v>85</v>
      </c>
      <c r="C15" s="538" t="s">
        <v>65</v>
      </c>
      <c r="D15" s="539">
        <v>1</v>
      </c>
      <c r="E15" s="545">
        <v>6783.68</v>
      </c>
      <c r="F15" s="290">
        <f>D15*E15</f>
        <v>6784</v>
      </c>
      <c r="G15" s="547">
        <v>1974</v>
      </c>
      <c r="H15" s="290">
        <f>G15*D15</f>
        <v>1974</v>
      </c>
      <c r="I15" s="523"/>
      <c r="J15" s="300">
        <f>D15*I15</f>
        <v>0</v>
      </c>
      <c r="K15" s="296" t="s">
        <v>69</v>
      </c>
      <c r="L15" s="296" t="s">
        <v>1540</v>
      </c>
      <c r="M15" s="579"/>
    </row>
    <row r="16" spans="1:13" s="568" customFormat="1">
      <c r="A16" s="541">
        <v>500</v>
      </c>
      <c r="B16" s="542" t="s">
        <v>24</v>
      </c>
      <c r="C16" s="538"/>
      <c r="D16" s="539"/>
      <c r="E16" s="545"/>
      <c r="F16" s="288"/>
      <c r="G16" s="581"/>
      <c r="H16" s="288"/>
      <c r="I16" s="567"/>
      <c r="J16" s="293"/>
      <c r="K16" s="294"/>
      <c r="L16" s="294"/>
      <c r="M16" s="579"/>
    </row>
    <row r="17" spans="1:13" s="568" customFormat="1">
      <c r="A17" s="536">
        <v>503</v>
      </c>
      <c r="B17" s="537" t="s">
        <v>134</v>
      </c>
      <c r="C17" s="538"/>
      <c r="D17" s="545"/>
      <c r="E17" s="545"/>
      <c r="F17" s="290"/>
      <c r="G17" s="581"/>
      <c r="H17" s="290"/>
      <c r="I17" s="574"/>
      <c r="J17" s="300"/>
      <c r="K17" s="297"/>
      <c r="L17" s="297"/>
      <c r="M17" s="534"/>
    </row>
    <row r="18" spans="1:13" s="568" customFormat="1">
      <c r="A18" s="536" t="s">
        <v>149</v>
      </c>
      <c r="B18" s="537" t="s">
        <v>150</v>
      </c>
      <c r="C18" s="538"/>
      <c r="D18" s="545"/>
      <c r="E18" s="545"/>
      <c r="F18" s="290"/>
      <c r="G18" s="581"/>
      <c r="H18" s="290"/>
      <c r="I18" s="574"/>
      <c r="J18" s="300"/>
      <c r="K18" s="297"/>
      <c r="L18" s="297"/>
      <c r="M18" s="579"/>
    </row>
    <row r="19" spans="1:13" s="568" customFormat="1">
      <c r="A19" s="536" t="s">
        <v>151</v>
      </c>
      <c r="B19" s="537" t="s">
        <v>152</v>
      </c>
      <c r="C19" s="538"/>
      <c r="D19" s="545"/>
      <c r="E19" s="545"/>
      <c r="F19" s="288"/>
      <c r="G19" s="582"/>
      <c r="H19" s="288"/>
      <c r="I19" s="567"/>
      <c r="J19" s="293"/>
      <c r="K19" s="294"/>
      <c r="L19" s="294"/>
      <c r="M19" s="579"/>
    </row>
    <row r="20" spans="1:13" s="568" customFormat="1" ht="84">
      <c r="A20" s="536" t="s">
        <v>153</v>
      </c>
      <c r="B20" s="537" t="s">
        <v>154</v>
      </c>
      <c r="C20" s="538" t="s">
        <v>95</v>
      </c>
      <c r="D20" s="539">
        <v>32</v>
      </c>
      <c r="E20" s="545">
        <v>521.17999999999995</v>
      </c>
      <c r="F20" s="290">
        <f t="shared" ref="F20:F22" si="1">D20*E20</f>
        <v>16678</v>
      </c>
      <c r="G20" s="581">
        <v>239.74</v>
      </c>
      <c r="H20" s="290">
        <f t="shared" ref="H20:H22" si="2">G20*D20</f>
        <v>7672</v>
      </c>
      <c r="I20" s="573"/>
      <c r="J20" s="300">
        <f>D20*I20</f>
        <v>0</v>
      </c>
      <c r="K20" s="297" t="s">
        <v>155</v>
      </c>
      <c r="L20" s="297" t="s">
        <v>156</v>
      </c>
      <c r="M20" s="579"/>
    </row>
    <row r="21" spans="1:13" s="568" customFormat="1" ht="84">
      <c r="A21" s="536" t="s">
        <v>157</v>
      </c>
      <c r="B21" s="537" t="s">
        <v>158</v>
      </c>
      <c r="C21" s="538" t="s">
        <v>95</v>
      </c>
      <c r="D21" s="539">
        <v>60</v>
      </c>
      <c r="E21" s="545">
        <v>149.96</v>
      </c>
      <c r="F21" s="290">
        <f t="shared" si="1"/>
        <v>8998</v>
      </c>
      <c r="G21" s="581">
        <v>73.8</v>
      </c>
      <c r="H21" s="290">
        <f t="shared" si="2"/>
        <v>4428</v>
      </c>
      <c r="I21" s="573"/>
      <c r="J21" s="300">
        <f>D21*I21</f>
        <v>0</v>
      </c>
      <c r="K21" s="297" t="s">
        <v>155</v>
      </c>
      <c r="L21" s="297" t="s">
        <v>156</v>
      </c>
      <c r="M21" s="579"/>
    </row>
    <row r="22" spans="1:13" s="568" customFormat="1" ht="84">
      <c r="A22" s="536" t="s">
        <v>159</v>
      </c>
      <c r="B22" s="537" t="s">
        <v>102</v>
      </c>
      <c r="C22" s="538" t="s">
        <v>95</v>
      </c>
      <c r="D22" s="539">
        <v>92</v>
      </c>
      <c r="E22" s="545">
        <v>37.67</v>
      </c>
      <c r="F22" s="290">
        <f t="shared" si="1"/>
        <v>3466</v>
      </c>
      <c r="G22" s="581">
        <v>20</v>
      </c>
      <c r="H22" s="290">
        <f t="shared" si="2"/>
        <v>1840</v>
      </c>
      <c r="I22" s="573"/>
      <c r="J22" s="300">
        <f>D22*I22</f>
        <v>0</v>
      </c>
      <c r="K22" s="297" t="s">
        <v>103</v>
      </c>
      <c r="L22" s="297" t="s">
        <v>104</v>
      </c>
      <c r="M22" s="579"/>
    </row>
    <row r="23" spans="1:13" s="568" customFormat="1">
      <c r="A23" s="536" t="s">
        <v>160</v>
      </c>
      <c r="B23" s="537" t="s">
        <v>161</v>
      </c>
      <c r="C23" s="538"/>
      <c r="D23" s="539"/>
      <c r="E23" s="545"/>
      <c r="F23" s="290"/>
      <c r="G23" s="581"/>
      <c r="H23" s="290"/>
      <c r="I23" s="574"/>
      <c r="J23" s="300"/>
      <c r="K23" s="297"/>
      <c r="L23" s="297"/>
      <c r="M23" s="534"/>
    </row>
    <row r="24" spans="1:13" s="568" customFormat="1" ht="120">
      <c r="A24" s="536" t="s">
        <v>162</v>
      </c>
      <c r="B24" s="537" t="s">
        <v>163</v>
      </c>
      <c r="C24" s="538" t="s">
        <v>164</v>
      </c>
      <c r="D24" s="539">
        <v>42855</v>
      </c>
      <c r="E24" s="545">
        <v>6.79</v>
      </c>
      <c r="F24" s="290">
        <f t="shared" ref="F24:F26" si="3">D24*E24</f>
        <v>290985</v>
      </c>
      <c r="G24" s="581">
        <v>0.94</v>
      </c>
      <c r="H24" s="290">
        <f t="shared" ref="H24:H26" si="4">G24*D24</f>
        <v>40284</v>
      </c>
      <c r="I24" s="573"/>
      <c r="J24" s="300">
        <f>D24*I24</f>
        <v>0</v>
      </c>
      <c r="K24" s="297" t="s">
        <v>165</v>
      </c>
      <c r="L24" s="297" t="s">
        <v>1512</v>
      </c>
      <c r="M24" s="578"/>
    </row>
    <row r="25" spans="1:13" s="568" customFormat="1" ht="108">
      <c r="A25" s="536" t="s">
        <v>166</v>
      </c>
      <c r="B25" s="537" t="s">
        <v>262</v>
      </c>
      <c r="C25" s="538" t="s">
        <v>164</v>
      </c>
      <c r="D25" s="539">
        <v>7101.1459999999997</v>
      </c>
      <c r="E25" s="545">
        <v>15.76</v>
      </c>
      <c r="F25" s="290">
        <f t="shared" si="3"/>
        <v>111914</v>
      </c>
      <c r="G25" s="581">
        <v>10.66</v>
      </c>
      <c r="H25" s="290">
        <f t="shared" si="4"/>
        <v>75698</v>
      </c>
      <c r="I25" s="573"/>
      <c r="J25" s="300">
        <f>D25*I25</f>
        <v>0</v>
      </c>
      <c r="K25" s="297" t="s">
        <v>167</v>
      </c>
      <c r="L25" s="297" t="s">
        <v>168</v>
      </c>
      <c r="M25" s="534"/>
    </row>
    <row r="26" spans="1:13" s="568" customFormat="1" ht="120">
      <c r="A26" s="536" t="s">
        <v>183</v>
      </c>
      <c r="B26" s="537" t="s">
        <v>284</v>
      </c>
      <c r="C26" s="538" t="s">
        <v>185</v>
      </c>
      <c r="D26" s="539">
        <v>1237</v>
      </c>
      <c r="E26" s="545">
        <v>28.89</v>
      </c>
      <c r="F26" s="290">
        <f t="shared" si="3"/>
        <v>35737</v>
      </c>
      <c r="G26" s="581">
        <v>15.45</v>
      </c>
      <c r="H26" s="290">
        <f t="shared" si="4"/>
        <v>19112</v>
      </c>
      <c r="I26" s="573"/>
      <c r="J26" s="300">
        <f>D26*I26</f>
        <v>0</v>
      </c>
      <c r="K26" s="297" t="s">
        <v>186</v>
      </c>
      <c r="L26" s="297" t="s">
        <v>1513</v>
      </c>
      <c r="M26" s="578"/>
    </row>
    <row r="27" spans="1:13" s="568" customFormat="1">
      <c r="A27" s="536" t="s">
        <v>187</v>
      </c>
      <c r="B27" s="537" t="s">
        <v>188</v>
      </c>
      <c r="C27" s="538"/>
      <c r="D27" s="539"/>
      <c r="E27" s="545"/>
      <c r="F27" s="290"/>
      <c r="G27" s="581"/>
      <c r="H27" s="290"/>
      <c r="I27" s="574"/>
      <c r="J27" s="300"/>
      <c r="K27" s="297"/>
      <c r="L27" s="297"/>
      <c r="M27" s="534"/>
    </row>
    <row r="28" spans="1:13" s="568" customFormat="1" ht="120">
      <c r="A28" s="536" t="s">
        <v>189</v>
      </c>
      <c r="B28" s="537" t="s">
        <v>285</v>
      </c>
      <c r="C28" s="538" t="s">
        <v>95</v>
      </c>
      <c r="D28" s="539">
        <v>274</v>
      </c>
      <c r="E28" s="545">
        <v>1175.8699999999999</v>
      </c>
      <c r="F28" s="290">
        <f>D28*E28</f>
        <v>322188</v>
      </c>
      <c r="G28" s="581">
        <v>238.21</v>
      </c>
      <c r="H28" s="290">
        <f>G28*D28</f>
        <v>65270</v>
      </c>
      <c r="I28" s="573"/>
      <c r="J28" s="300">
        <f>D28*I28</f>
        <v>0</v>
      </c>
      <c r="K28" s="297" t="s">
        <v>191</v>
      </c>
      <c r="L28" s="297" t="s">
        <v>1516</v>
      </c>
      <c r="M28" s="578"/>
    </row>
    <row r="29" spans="1:13" s="568" customFormat="1">
      <c r="A29" s="536" t="s">
        <v>202</v>
      </c>
      <c r="B29" s="537" t="s">
        <v>203</v>
      </c>
      <c r="C29" s="538"/>
      <c r="D29" s="539"/>
      <c r="E29" s="545"/>
      <c r="F29" s="290"/>
      <c r="G29" s="581"/>
      <c r="H29" s="290"/>
      <c r="I29" s="574"/>
      <c r="J29" s="300"/>
      <c r="K29" s="297"/>
      <c r="L29" s="297"/>
      <c r="M29" s="534"/>
    </row>
    <row r="30" spans="1:13" s="568" customFormat="1">
      <c r="A30" s="536" t="s">
        <v>214</v>
      </c>
      <c r="B30" s="537" t="s">
        <v>215</v>
      </c>
      <c r="C30" s="538"/>
      <c r="D30" s="539"/>
      <c r="E30" s="545"/>
      <c r="F30" s="290"/>
      <c r="G30" s="581"/>
      <c r="H30" s="290"/>
      <c r="I30" s="574"/>
      <c r="J30" s="300"/>
      <c r="K30" s="297"/>
      <c r="L30" s="297"/>
      <c r="M30" s="534"/>
    </row>
    <row r="31" spans="1:13" s="568" customFormat="1" ht="96">
      <c r="A31" s="536" t="s">
        <v>216</v>
      </c>
      <c r="B31" s="537" t="s">
        <v>217</v>
      </c>
      <c r="C31" s="538" t="s">
        <v>95</v>
      </c>
      <c r="D31" s="539">
        <v>11.077999999999999</v>
      </c>
      <c r="E31" s="545">
        <v>1210.1600000000001</v>
      </c>
      <c r="F31" s="290">
        <f t="shared" ref="F31:F35" si="5">D31*E31</f>
        <v>13406</v>
      </c>
      <c r="G31" s="581">
        <v>280</v>
      </c>
      <c r="H31" s="290">
        <f t="shared" ref="H31:H35" si="6">G31*D31</f>
        <v>3102</v>
      </c>
      <c r="I31" s="573"/>
      <c r="J31" s="300">
        <f>D31*I31</f>
        <v>0</v>
      </c>
      <c r="K31" s="297" t="s">
        <v>201</v>
      </c>
      <c r="L31" s="297" t="s">
        <v>1518</v>
      </c>
      <c r="M31" s="578"/>
    </row>
    <row r="32" spans="1:13" s="568" customFormat="1" ht="156">
      <c r="A32" s="536" t="s">
        <v>218</v>
      </c>
      <c r="B32" s="537" t="s">
        <v>219</v>
      </c>
      <c r="C32" s="538" t="s">
        <v>95</v>
      </c>
      <c r="D32" s="539">
        <v>48.9</v>
      </c>
      <c r="E32" s="545">
        <v>879.76</v>
      </c>
      <c r="F32" s="290">
        <f t="shared" si="5"/>
        <v>43020</v>
      </c>
      <c r="G32" s="581">
        <v>212.47</v>
      </c>
      <c r="H32" s="290">
        <f t="shared" si="6"/>
        <v>10390</v>
      </c>
      <c r="I32" s="573"/>
      <c r="J32" s="300">
        <f>D32*I32</f>
        <v>0</v>
      </c>
      <c r="K32" s="297" t="s">
        <v>201</v>
      </c>
      <c r="L32" s="297" t="s">
        <v>1519</v>
      </c>
      <c r="M32" s="578"/>
    </row>
    <row r="33" spans="1:13" s="568" customFormat="1" ht="120">
      <c r="A33" s="536" t="s">
        <v>220</v>
      </c>
      <c r="B33" s="537" t="s">
        <v>221</v>
      </c>
      <c r="C33" s="538" t="s">
        <v>164</v>
      </c>
      <c r="D33" s="539">
        <v>5217</v>
      </c>
      <c r="E33" s="545">
        <v>5.88</v>
      </c>
      <c r="F33" s="290">
        <f t="shared" si="5"/>
        <v>30676</v>
      </c>
      <c r="G33" s="581">
        <v>0.72</v>
      </c>
      <c r="H33" s="290">
        <f t="shared" si="6"/>
        <v>3756</v>
      </c>
      <c r="I33" s="573"/>
      <c r="J33" s="300">
        <f>D33*I33</f>
        <v>0</v>
      </c>
      <c r="K33" s="297" t="s">
        <v>165</v>
      </c>
      <c r="L33" s="297" t="s">
        <v>1512</v>
      </c>
      <c r="M33" s="578"/>
    </row>
    <row r="34" spans="1:13" s="568" customFormat="1" ht="108">
      <c r="A34" s="536" t="s">
        <v>222</v>
      </c>
      <c r="B34" s="537" t="s">
        <v>223</v>
      </c>
      <c r="C34" s="538" t="s">
        <v>164</v>
      </c>
      <c r="D34" s="539">
        <v>332</v>
      </c>
      <c r="E34" s="545">
        <v>11.02</v>
      </c>
      <c r="F34" s="290">
        <f t="shared" si="5"/>
        <v>3659</v>
      </c>
      <c r="G34" s="581">
        <v>9.09</v>
      </c>
      <c r="H34" s="290">
        <f t="shared" si="6"/>
        <v>3018</v>
      </c>
      <c r="I34" s="573"/>
      <c r="J34" s="300">
        <f>D34*I34</f>
        <v>0</v>
      </c>
      <c r="K34" s="297" t="s">
        <v>181</v>
      </c>
      <c r="L34" s="297" t="s">
        <v>224</v>
      </c>
      <c r="M34" s="534"/>
    </row>
    <row r="35" spans="1:13" s="568" customFormat="1" ht="84">
      <c r="A35" s="536" t="s">
        <v>225</v>
      </c>
      <c r="B35" s="537" t="s">
        <v>226</v>
      </c>
      <c r="C35" s="538" t="s">
        <v>164</v>
      </c>
      <c r="D35" s="539">
        <v>1036</v>
      </c>
      <c r="E35" s="545">
        <v>13.49</v>
      </c>
      <c r="F35" s="290">
        <f t="shared" si="5"/>
        <v>13976</v>
      </c>
      <c r="G35" s="581">
        <v>11</v>
      </c>
      <c r="H35" s="290">
        <f t="shared" si="6"/>
        <v>11396</v>
      </c>
      <c r="I35" s="573"/>
      <c r="J35" s="300">
        <f>D35*I35</f>
        <v>0</v>
      </c>
      <c r="K35" s="297" t="s">
        <v>227</v>
      </c>
      <c r="L35" s="297" t="s">
        <v>228</v>
      </c>
      <c r="M35" s="534"/>
    </row>
    <row r="36" spans="1:13" s="568" customFormat="1">
      <c r="A36" s="541">
        <v>600</v>
      </c>
      <c r="B36" s="542" t="s">
        <v>252</v>
      </c>
      <c r="C36" s="538"/>
      <c r="D36" s="543"/>
      <c r="E36" s="582"/>
      <c r="F36" s="288"/>
      <c r="G36" s="582"/>
      <c r="H36" s="288"/>
      <c r="I36" s="567"/>
      <c r="J36" s="293"/>
      <c r="K36" s="294"/>
      <c r="L36" s="294"/>
      <c r="M36" s="579"/>
    </row>
    <row r="37" spans="1:13" s="568" customFormat="1" ht="13.2">
      <c r="A37" s="536">
        <v>605</v>
      </c>
      <c r="B37" s="537" t="s">
        <v>253</v>
      </c>
      <c r="C37" s="538"/>
      <c r="D37" s="545"/>
      <c r="E37" s="603"/>
      <c r="F37" s="288"/>
      <c r="G37" s="582"/>
      <c r="H37" s="288"/>
      <c r="I37" s="567"/>
      <c r="J37" s="293"/>
      <c r="K37" s="294"/>
      <c r="L37" s="294"/>
      <c r="M37" s="579"/>
    </row>
    <row r="38" spans="1:13" s="568" customFormat="1" ht="13.2">
      <c r="A38" s="536" t="s">
        <v>254</v>
      </c>
      <c r="B38" s="537" t="s">
        <v>255</v>
      </c>
      <c r="C38" s="538"/>
      <c r="D38" s="545"/>
      <c r="E38" s="603"/>
      <c r="F38" s="288"/>
      <c r="G38" s="582"/>
      <c r="H38" s="288"/>
      <c r="I38" s="567"/>
      <c r="J38" s="293"/>
      <c r="K38" s="294"/>
      <c r="L38" s="294"/>
      <c r="M38" s="579"/>
    </row>
    <row r="39" spans="1:13" s="568" customFormat="1" ht="84">
      <c r="A39" s="536" t="s">
        <v>256</v>
      </c>
      <c r="B39" s="537" t="s">
        <v>257</v>
      </c>
      <c r="C39" s="538" t="s">
        <v>113</v>
      </c>
      <c r="D39" s="545">
        <v>24.3</v>
      </c>
      <c r="E39" s="545">
        <v>43.68</v>
      </c>
      <c r="F39" s="290">
        <f>D39*E39</f>
        <v>1061</v>
      </c>
      <c r="G39" s="581">
        <v>32.68</v>
      </c>
      <c r="H39" s="290">
        <f>G39*D39</f>
        <v>794</v>
      </c>
      <c r="I39" s="573"/>
      <c r="J39" s="300">
        <f>D39*I39</f>
        <v>0</v>
      </c>
      <c r="K39" s="297" t="s">
        <v>258</v>
      </c>
      <c r="L39" s="297" t="s">
        <v>259</v>
      </c>
      <c r="M39" s="579"/>
    </row>
    <row r="40" spans="1:13" s="576" customFormat="1" ht="23.1" customHeight="1">
      <c r="A40" s="583" t="s">
        <v>260</v>
      </c>
      <c r="B40" s="584"/>
      <c r="C40" s="530"/>
      <c r="D40" s="531"/>
      <c r="E40" s="598"/>
      <c r="F40" s="348">
        <f t="shared" ref="F40:J40" si="7">SUM(F6:F39)</f>
        <v>999932</v>
      </c>
      <c r="G40" s="585"/>
      <c r="H40" s="348">
        <f t="shared" si="7"/>
        <v>306871</v>
      </c>
      <c r="I40" s="575"/>
      <c r="J40" s="348">
        <f t="shared" si="7"/>
        <v>5522</v>
      </c>
      <c r="K40" s="349"/>
      <c r="L40" s="349"/>
      <c r="M40" s="580"/>
    </row>
  </sheetData>
  <sheetProtection algorithmName="SHA-512" hashValue="RX5Zdd/1m2kud9ydaBKJLeLP3+BipeAGLGFsnCwlAb0umXhO28iIE9XrJcg23gMd+w6BmF5a6twYv6MoLdt8HA==" saltValue="GUv5y0Cs5o3c9Uyyis+xtw==" spinCount="100000" sheet="1" objects="1" scenarios="1"/>
  <mergeCells count="16">
    <mergeCell ref="A1:M1"/>
    <mergeCell ref="A2:I2"/>
    <mergeCell ref="A40:B40"/>
    <mergeCell ref="A4:A5"/>
    <mergeCell ref="B4:B5"/>
    <mergeCell ref="C4:C5"/>
    <mergeCell ref="D4:D5"/>
    <mergeCell ref="E4:E5"/>
    <mergeCell ref="F4:F5"/>
    <mergeCell ref="G4:G5"/>
    <mergeCell ref="H4:H5"/>
    <mergeCell ref="I4:I5"/>
    <mergeCell ref="J4:J5"/>
    <mergeCell ref="K4:K5"/>
    <mergeCell ref="L4:L5"/>
    <mergeCell ref="M4:M5"/>
  </mergeCells>
  <phoneticPr fontId="98" type="noConversion"/>
  <conditionalFormatting sqref="M3 C6:C36 N2:IN40 A7:B15 N1:IE1">
    <cfRule type="cellIs" dxfId="66" priority="8" operator="equal">
      <formula>0</formula>
    </cfRule>
  </conditionalFormatting>
  <conditionalFormatting sqref="M17">
    <cfRule type="cellIs" dxfId="65" priority="18" operator="equal">
      <formula>0</formula>
    </cfRule>
  </conditionalFormatting>
  <conditionalFormatting sqref="M23">
    <cfRule type="cellIs" dxfId="64" priority="17" operator="equal">
      <formula>0</formula>
    </cfRule>
  </conditionalFormatting>
  <conditionalFormatting sqref="M25">
    <cfRule type="cellIs" dxfId="63" priority="16" operator="equal">
      <formula>0</formula>
    </cfRule>
  </conditionalFormatting>
  <conditionalFormatting sqref="M27">
    <cfRule type="cellIs" dxfId="62" priority="15" operator="equal">
      <formula>0</formula>
    </cfRule>
  </conditionalFormatting>
  <conditionalFormatting sqref="C37:C39">
    <cfRule type="cellIs" dxfId="61" priority="9" operator="equal">
      <formula>0</formula>
    </cfRule>
  </conditionalFormatting>
  <conditionalFormatting sqref="A3:L3 A4:D4 A5:C5 C40 M29:M30 M34:M35 A2 J2:L2">
    <cfRule type="cellIs" dxfId="60" priority="22" operator="equal">
      <formula>0</formula>
    </cfRule>
  </conditionalFormatting>
  <conditionalFormatting sqref="M2 M4">
    <cfRule type="cellIs" dxfId="59" priority="21" operator="equal">
      <formula>0</formula>
    </cfRule>
  </conditionalFormatting>
  <conditionalFormatting sqref="A1">
    <cfRule type="cellIs" dxfId="58" priority="2" operator="equal">
      <formula>0</formula>
    </cfRule>
  </conditionalFormatting>
  <printOptions horizontalCentered="1"/>
  <pageMargins left="0.31496062992126" right="0.31496062992126" top="0.74803149606299202" bottom="0.74803149606299202" header="0.31496062992126" footer="0.31496062992126"/>
  <pageSetup paperSize="9" scale="65" fitToHeight="0" orientation="landscape" r:id="rId1"/>
  <headerFooter alignWithMargins="0">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9" master=""/>
  <rangeList sheetStid="58" master=""/>
  <rangeList sheetStid="44" master=""/>
  <rangeList sheetStid="45" master=""/>
  <rangeList sheetStid="46" master=""/>
  <rangeList sheetStid="47" master=""/>
  <rangeList sheetStid="48" master=""/>
  <rangeList sheetStid="49" master=""/>
  <rangeList sheetStid="50" master=""/>
  <rangeList sheetStid="51" master=""/>
  <rangeList sheetStid="55" master=""/>
  <rangeList sheetStid="56" master=""/>
  <rangeList sheetStid="57" master=""/>
  <rangeList sheetStid="52" master=""/>
  <rangeList sheetStid="53" master=""/>
  <rangeList sheetStid="54" master=""/>
  <rangeList sheetStid="29" master=""/>
  <rangeList sheetStid="43" master=""/>
  <rangeList sheetStid="36" master=""/>
  <rangeList sheetStid="14" master=""/>
  <rangeList sheetStid="25" master="">
    <arrUserId title="区域1" rangeCreator="" othersAccessPermission="edit"/>
  </rangeList>
  <rangeList sheetStid="26" master=""/>
  <rangeList sheetStid="35" master=""/>
  <rangeList sheetStid="31" master=""/>
  <rangeList sheetStid="8" master=""/>
  <rangeList sheetStid="7" master=""/>
  <rangeList sheetStid="30"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24</vt:i4>
      </vt:variant>
      <vt:variant>
        <vt:lpstr>命名范围</vt:lpstr>
      </vt:variant>
      <vt:variant>
        <vt:i4>29</vt:i4>
      </vt:variant>
    </vt:vector>
  </HeadingPairs>
  <TitlesOfParts>
    <vt:vector size="53" baseType="lpstr">
      <vt:lpstr>汇总表</vt:lpstr>
      <vt:lpstr>投标报价汇总表（合同包一）</vt:lpstr>
      <vt:lpstr>工程量清单1-分界梁</vt:lpstr>
      <vt:lpstr>工程量清单2-凤凰梁 </vt:lpstr>
      <vt:lpstr>工程量清单3-马垭口</vt:lpstr>
      <vt:lpstr>工程量清单4-红岩</vt:lpstr>
      <vt:lpstr>工程量清单5-王家坪</vt:lpstr>
      <vt:lpstr>工程量清单6-闵家</vt:lpstr>
      <vt:lpstr>工程量清单7-营盘包</vt:lpstr>
      <vt:lpstr>工程量清单8-孙家崖</vt:lpstr>
      <vt:lpstr>工程量清单9-奉云路</vt:lpstr>
      <vt:lpstr>工程量清单10-巫奉路</vt:lpstr>
      <vt:lpstr>工程量清单11-奉溪路</vt:lpstr>
      <vt:lpstr>配合比</vt:lpstr>
      <vt:lpstr>材料价格表</vt:lpstr>
      <vt:lpstr>间接费</vt:lpstr>
      <vt:lpstr>成测表2-6</vt:lpstr>
      <vt:lpstr>成测表3间接费</vt:lpstr>
      <vt:lpstr>税费</vt:lpstr>
      <vt:lpstr>税 费（项目部）</vt:lpstr>
      <vt:lpstr>税负测算(初次审核)</vt:lpstr>
      <vt:lpstr>200章</vt:lpstr>
      <vt:lpstr>400章</vt:lpstr>
      <vt:lpstr>500章</vt:lpstr>
      <vt:lpstr>'成测表2-6'!Print_Area</vt:lpstr>
      <vt:lpstr>'工程量清单10-巫奉路'!Print_Area</vt:lpstr>
      <vt:lpstr>'工程量清单11-奉溪路'!Print_Area</vt:lpstr>
      <vt:lpstr>'工程量清单1-分界梁'!Print_Area</vt:lpstr>
      <vt:lpstr>'工程量清单2-凤凰梁 '!Print_Area</vt:lpstr>
      <vt:lpstr>'工程量清单3-马垭口'!Print_Area</vt:lpstr>
      <vt:lpstr>'工程量清单4-红岩'!Print_Area</vt:lpstr>
      <vt:lpstr>'工程量清单5-王家坪'!Print_Area</vt:lpstr>
      <vt:lpstr>'工程量清单6-闵家'!Print_Area</vt:lpstr>
      <vt:lpstr>'工程量清单7-营盘包'!Print_Area</vt:lpstr>
      <vt:lpstr>'工程量清单8-孙家崖'!Print_Area</vt:lpstr>
      <vt:lpstr>'工程量清单9-奉云路'!Print_Area</vt:lpstr>
      <vt:lpstr>汇总表!Print_Area</vt:lpstr>
      <vt:lpstr>'投标报价汇总表（合同包一）'!Print_Area</vt:lpstr>
      <vt:lpstr>'200章'!Print_Titles</vt:lpstr>
      <vt:lpstr>'400章'!Print_Titles</vt:lpstr>
      <vt:lpstr>'500章'!Print_Titles</vt:lpstr>
      <vt:lpstr>成测表3间接费!Print_Titles</vt:lpstr>
      <vt:lpstr>'工程量清单10-巫奉路'!Print_Titles</vt:lpstr>
      <vt:lpstr>'工程量清单11-奉溪路'!Print_Titles</vt:lpstr>
      <vt:lpstr>'工程量清单1-分界梁'!Print_Titles</vt:lpstr>
      <vt:lpstr>'工程量清单2-凤凰梁 '!Print_Titles</vt:lpstr>
      <vt:lpstr>'工程量清单3-马垭口'!Print_Titles</vt:lpstr>
      <vt:lpstr>'工程量清单4-红岩'!Print_Titles</vt:lpstr>
      <vt:lpstr>'工程量清单5-王家坪'!Print_Titles</vt:lpstr>
      <vt:lpstr>'工程量清单6-闵家'!Print_Titles</vt:lpstr>
      <vt:lpstr>'工程量清单7-营盘包'!Print_Titles</vt:lpstr>
      <vt:lpstr>'工程量清单8-孙家崖'!Print_Titles</vt:lpstr>
      <vt:lpstr>'工程量清单9-奉云路'!Print_Titles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魏占科</dc:creator>
  <cp:lastModifiedBy>75564</cp:lastModifiedBy>
  <cp:lastPrinted>2023-05-11T07:37:50Z</cp:lastPrinted>
  <dcterms:created xsi:type="dcterms:W3CDTF">2017-06-16T09:21:00Z</dcterms:created>
  <dcterms:modified xsi:type="dcterms:W3CDTF">2023-05-12T07:57:30Z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KSORubyTemplateID" linkTarget="0">
    <vt:lpwstr>14</vt:lpwstr>
  </property>
  <property fmtid="{D5CDD505-2E9C-101B-9397-08002B2CF9AE}" pid="5" name="ICV">
    <vt:lpwstr>7B1A4BD7BD9A4481BDE228A2529E39DE_13</vt:lpwstr>
  </property>
</Properties>
</file>