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汇总" sheetId="1" r:id="rId1"/>
    <sheet name="汇总 （城开A1交工检测）" sheetId="2" r:id="rId2"/>
    <sheet name="外观（城开A1交工检测）" sheetId="3" r:id="rId3"/>
    <sheet name="路面（城开A1交工检测）" sheetId="4" r:id="rId4"/>
    <sheet name="荷载试验（城开A1交工检测）" sheetId="5" r:id="rId5"/>
    <sheet name="隧道雷达（城开A1交工检测）" sheetId="6" r:id="rId6"/>
    <sheet name="汇总 (寂静互通)" sheetId="7" r:id="rId7"/>
    <sheet name="外观 (寂静互通)" sheetId="8" r:id="rId8"/>
    <sheet name="路面 (寂静互通)" sheetId="9" r:id="rId9"/>
    <sheet name="汇总 (春华立交)" sheetId="10" r:id="rId10"/>
    <sheet name="外观 (春华立交)" sheetId="11" r:id="rId11"/>
    <sheet name="路面 (春华立交)" sheetId="12" r:id="rId12"/>
    <sheet name="汇总 (龙凤溪互通)" sheetId="13" r:id="rId13"/>
    <sheet name="外观(龙凤溪互通)" sheetId="14" r:id="rId14"/>
    <sheet name="路面(龙凤溪互通)" sheetId="15" r:id="rId15"/>
  </sheets>
  <externalReferences>
    <externalReference r:id="rId16"/>
  </externalReferences>
  <definedNames>
    <definedName name="_xlnm.Print_Area" localSheetId="2">'外观（城开A1交工检测）'!$A$1:$H$16</definedName>
    <definedName name="_xlnm.Print_Area" localSheetId="3">'路面（城开A1交工检测）'!$A$1:$H$20</definedName>
    <definedName name="_xlnm.Print_Area" localSheetId="4">'荷载试验（城开A1交工检测）'!$A$1:$K$28</definedName>
    <definedName name="_xlnm.Print_Area" localSheetId="7">'外观 (寂静互通)'!$A$1:$I$11</definedName>
    <definedName name="_xlnm.Print_Area" localSheetId="8">'路面 (寂静互通)'!$A$1:$H$18</definedName>
    <definedName name="_xlnm.Print_Area" localSheetId="10">'外观 (春华立交)'!$A$1:$I$11</definedName>
    <definedName name="_xlnm.Print_Area" localSheetId="11">'路面 (春华立交)'!$A$1:$J$18</definedName>
    <definedName name="_xlnm.Print_Area" localSheetId="13">'外观(龙凤溪互通)'!$A$1:$I$11</definedName>
    <definedName name="_xlnm.Print_Area" localSheetId="14">'路面(龙凤溪互通)'!$A$1:$J$18</definedName>
  </definedNames>
  <calcPr calcId="144525"/>
</workbook>
</file>

<file path=xl/comments1.xml><?xml version="1.0" encoding="utf-8"?>
<comments xmlns="http://schemas.openxmlformats.org/spreadsheetml/2006/main">
  <authors>
    <author>Lee</author>
  </authors>
  <commentList>
    <comment ref="C4" authorId="0">
      <text>
        <r>
          <rPr>
            <sz val="9"/>
            <rFont val="宋体"/>
            <charset val="134"/>
          </rPr>
          <t>附录J</t>
        </r>
      </text>
    </comment>
    <comment ref="C6" authorId="0">
      <text>
        <r>
          <rPr>
            <sz val="9"/>
            <rFont val="宋体"/>
            <charset val="134"/>
          </rPr>
          <t>附录L</t>
        </r>
      </text>
    </comment>
  </commentList>
</comments>
</file>

<file path=xl/comments2.xml><?xml version="1.0" encoding="utf-8"?>
<comments xmlns="http://schemas.openxmlformats.org/spreadsheetml/2006/main">
  <authors>
    <author>Lee</author>
  </authors>
  <commentList>
    <comment ref="C4" authorId="0">
      <text>
        <r>
          <rPr>
            <sz val="9"/>
            <rFont val="宋体"/>
            <charset val="134"/>
          </rPr>
          <t>附录J</t>
        </r>
      </text>
    </comment>
    <comment ref="C6" authorId="0">
      <text>
        <r>
          <rPr>
            <sz val="9"/>
            <rFont val="宋体"/>
            <charset val="134"/>
          </rPr>
          <t>附录L</t>
        </r>
      </text>
    </comment>
  </commentList>
</comments>
</file>

<file path=xl/comments3.xml><?xml version="1.0" encoding="utf-8"?>
<comments xmlns="http://schemas.openxmlformats.org/spreadsheetml/2006/main">
  <authors>
    <author>Lee</author>
  </authors>
  <commentList>
    <comment ref="C4" authorId="0">
      <text>
        <r>
          <rPr>
            <sz val="9"/>
            <rFont val="宋体"/>
            <charset val="134"/>
          </rPr>
          <t>附录J</t>
        </r>
      </text>
    </comment>
    <comment ref="C6" authorId="0">
      <text>
        <r>
          <rPr>
            <sz val="9"/>
            <rFont val="宋体"/>
            <charset val="134"/>
          </rPr>
          <t>附录L</t>
        </r>
      </text>
    </comment>
  </commentList>
</comments>
</file>

<file path=xl/sharedStrings.xml><?xml version="1.0" encoding="utf-8"?>
<sst xmlns="http://schemas.openxmlformats.org/spreadsheetml/2006/main" count="485" uniqueCount="210">
  <si>
    <t>城开高速公路、春华大道互通立交工程等项目交竣工验收质量检测费用汇总表</t>
  </si>
  <si>
    <t>序号</t>
  </si>
  <si>
    <t>项目</t>
  </si>
  <si>
    <t>单项限价（元）</t>
  </si>
  <si>
    <t>投标（检测）</t>
  </si>
  <si>
    <t>备注</t>
  </si>
  <si>
    <t>费用（元）</t>
  </si>
  <si>
    <t>城开高速A1合同段交工验收工程</t>
  </si>
  <si>
    <t>寂静互通竣工验收工程</t>
  </si>
  <si>
    <t>绕城高速公路春华立交工程竣工验收工程</t>
  </si>
  <si>
    <t>渝武高速公路龙凤溪互通立交工程（拼宽段）竣工验收工程</t>
  </si>
  <si>
    <t>1～4项合计（元）</t>
  </si>
  <si>
    <t xml:space="preserve">注：投标人根据本表报出的投标价为固定总价合同，检测频次须满足国家相关规范要求； </t>
  </si>
  <si>
    <t>表1</t>
  </si>
  <si>
    <t>城开高速A1合同段交工验收工程质量检测费用汇总表</t>
  </si>
  <si>
    <t>常规检测（查）工作费</t>
  </si>
  <si>
    <t>路面工程自动化仪器检测费</t>
  </si>
  <si>
    <t>桥梁荷载试验费</t>
  </si>
  <si>
    <t>隧道地质雷达检测费</t>
  </si>
  <si>
    <t>1~4项小计</t>
  </si>
  <si>
    <t>安全生产措施费（1.5%包干使用）</t>
  </si>
  <si>
    <t>方案审查及验收评审费（包干使用）</t>
  </si>
  <si>
    <t>2023年底、2025年底分两段通车四次会议</t>
  </si>
  <si>
    <t>不可预见费</t>
  </si>
  <si>
    <t>5～8项合计（元）</t>
  </si>
  <si>
    <t>表2</t>
  </si>
  <si>
    <t>城开高速A1合同段交工验收工程质量常规检测（查）工作费用计算表</t>
  </si>
  <si>
    <t>单位工程</t>
  </si>
  <si>
    <t>分部工程</t>
  </si>
  <si>
    <t>抽查项目</t>
  </si>
  <si>
    <t>检测费用计算（元）</t>
  </si>
  <si>
    <t>单位</t>
  </si>
  <si>
    <t>数量</t>
  </si>
  <si>
    <t>单价（元）</t>
  </si>
  <si>
    <t>合计（元）</t>
  </si>
  <si>
    <t>路基工程</t>
  </si>
  <si>
    <t>土石方、排水、小桥、涵洞、支挡工程（指挡土墙、抗滑桩、铺砌式坡面防护、喷锚等防护工程。）</t>
  </si>
  <si>
    <t>砼强度、路基工程外观尺寸等项目</t>
  </si>
  <si>
    <t>km（主线左右幅路基+匝道路基）</t>
  </si>
  <si>
    <t>路面工程</t>
  </si>
  <si>
    <t>路面面层</t>
  </si>
  <si>
    <t>压实度、强度、横坡、渗水系数及路面外观等项目检查（不含自动化仪器检测项目的费用）</t>
  </si>
  <si>
    <t>km（单幅）</t>
  </si>
  <si>
    <t>桥梁工程</t>
  </si>
  <si>
    <t>上部（不包含连续刚构）</t>
  </si>
  <si>
    <t>使用桥梁检修车对上部结构和桥面系砼强度、钢筋保护层厚度、平整度、横坡、抗滑、伸缩缝与桥面高差、钢箱梁厚度等实体项目及外观检查</t>
  </si>
  <si>
    <t>跨（单幅）</t>
  </si>
  <si>
    <t>连续刚构桥上部</t>
  </si>
  <si>
    <r>
      <rPr>
        <sz val="10"/>
        <color theme="1"/>
        <rFont val="等线 Light"/>
        <charset val="134"/>
      </rPr>
      <t>使用桥梁检修车对砼强度和其它检测</t>
    </r>
    <r>
      <rPr>
        <b/>
        <sz val="10"/>
        <color theme="1"/>
        <rFont val="等线 Light"/>
        <charset val="134"/>
      </rPr>
      <t>实体项目</t>
    </r>
    <r>
      <rPr>
        <sz val="10"/>
        <color theme="1"/>
        <rFont val="等线 Light"/>
        <charset val="134"/>
      </rPr>
      <t>及外观检查</t>
    </r>
  </si>
  <si>
    <t>米（单幅）</t>
  </si>
  <si>
    <t>下部</t>
  </si>
  <si>
    <t>砼强度、钢筋保护层厚度、墩台垂直度等项目以及外观</t>
  </si>
  <si>
    <t>墩、台</t>
  </si>
  <si>
    <t>隧道工程</t>
  </si>
  <si>
    <t>衬砌总体</t>
  </si>
  <si>
    <t>隧道衬砌强度、大面平整度、宽度、净空、外观检查等项目</t>
  </si>
  <si>
    <t>km（单洞）</t>
  </si>
  <si>
    <t>交通安全设施</t>
  </si>
  <si>
    <t>标志、防护栏、标线等</t>
  </si>
  <si>
    <t>立柱竖直度、板净空和厚度、标志面反光膜等级及逆射光系数、反光标线逆反射系数、标线厚度、波形护栏厚度、埋深、砼强度、尺寸、外观等项目</t>
  </si>
  <si>
    <t>km（主线左右幅+匝道+连接线）</t>
  </si>
  <si>
    <t>1～5项检测费用合计</t>
  </si>
  <si>
    <t>税金（6％）</t>
  </si>
  <si>
    <t>常规检测费用总计（含税金）</t>
  </si>
  <si>
    <t>注：本表所列工程数量为正线工程数量，服务区、收费站、停车区及养护工区等工程量未计算在内，投标人应综合考虑报价，根据本表报出的投标价为固定总价合同。</t>
  </si>
  <si>
    <t>表3</t>
  </si>
  <si>
    <t>城开高速A1合同段交工验收路面工程自动化仪器检测费用计算表</t>
  </si>
  <si>
    <t>路线名称</t>
  </si>
  <si>
    <t>工程名称</t>
  </si>
  <si>
    <t>检测项目</t>
  </si>
  <si>
    <t>检测里程   （单车道km）</t>
  </si>
  <si>
    <t>检查频率</t>
  </si>
  <si>
    <t>城开高速</t>
  </si>
  <si>
    <t>沥青路面弯沉</t>
  </si>
  <si>
    <t>全线连测，满足规范要求，每评定单元不少于40点。</t>
  </si>
  <si>
    <t>激光高速动态弯沉仪（路基段）</t>
  </si>
  <si>
    <t>平整度</t>
  </si>
  <si>
    <t>全线连测 ,满足规范要求</t>
  </si>
  <si>
    <t>路面激光平整度测量系统</t>
  </si>
  <si>
    <t>路面横向力系数</t>
  </si>
  <si>
    <t>路面横向力系数测试仪</t>
  </si>
  <si>
    <t>路面构造深度</t>
  </si>
  <si>
    <t>路面构造深度测量系统</t>
  </si>
  <si>
    <t>路面厚度</t>
  </si>
  <si>
    <t>车载路面厚度雷达测量系统</t>
  </si>
  <si>
    <t>渗水系数</t>
  </si>
  <si>
    <t>渗水仪（半幅合计)</t>
  </si>
  <si>
    <t>路面车辙</t>
  </si>
  <si>
    <t>自动化车辙仪或激光车辙仪</t>
  </si>
  <si>
    <t>检测费用合计</t>
  </si>
  <si>
    <t>税金(6%)</t>
  </si>
  <si>
    <t>检测费用总计（含税金）</t>
  </si>
  <si>
    <t>注：本表所列工程数量为正线工程数量，服务区、收费站工程量未计算在内，投标人应综合考虑报价，根据本表报出的投标价为固定总价合同。</t>
  </si>
  <si>
    <t>表4</t>
  </si>
  <si>
    <t>城开高速A1合同段交工验收桥梁荷载试验费用计算表</t>
  </si>
  <si>
    <t>标段</t>
  </si>
  <si>
    <t>桥梁名称</t>
  </si>
  <si>
    <t>中心桩号</t>
  </si>
  <si>
    <t>桥梁类型</t>
  </si>
  <si>
    <t>跨径组合</t>
  </si>
  <si>
    <t>试验</t>
  </si>
  <si>
    <t>荷载试验费用</t>
  </si>
  <si>
    <t>跨数</t>
  </si>
  <si>
    <t>截面数</t>
  </si>
  <si>
    <t>单价元/截面</t>
  </si>
  <si>
    <t>小计（元）</t>
  </si>
  <si>
    <t>A1（中环）</t>
  </si>
  <si>
    <t>苍坪1号中桥右线</t>
  </si>
  <si>
    <t>YK26+528</t>
  </si>
  <si>
    <t>p.c.简支T梁</t>
  </si>
  <si>
    <t>3*30</t>
  </si>
  <si>
    <t>春潮溪中桥因变更图未出，暂按2跨计算。</t>
  </si>
  <si>
    <t>苍坪1号大桥左线</t>
  </si>
  <si>
    <t>ZK26+730.5</t>
  </si>
  <si>
    <t>p.c.简支桥面+结构连续T梁</t>
  </si>
  <si>
    <t>4*30+6*20+4*30+6*20</t>
  </si>
  <si>
    <t>苍坪2号大桥右线</t>
  </si>
  <si>
    <t>YK26+885</t>
  </si>
  <si>
    <t>3*20+7*30</t>
  </si>
  <si>
    <t>苍坪2号大桥左线</t>
  </si>
  <si>
    <t>ZK27+404.468</t>
  </si>
  <si>
    <t>20*20+3*30</t>
  </si>
  <si>
    <t>苍坪3号大桥右线</t>
  </si>
  <si>
    <t>YK27+415</t>
  </si>
  <si>
    <t>春潮溪中桥</t>
  </si>
  <si>
    <t>A1（中铁十二局）</t>
  </si>
  <si>
    <t>北屏大桥（左）</t>
  </si>
  <si>
    <t>ZK28+578</t>
  </si>
  <si>
    <t>预应力混凝土先简支后连续T梁</t>
  </si>
  <si>
    <t>3×20+3×20+2×30</t>
  </si>
  <si>
    <t>北屏大桥（右）</t>
  </si>
  <si>
    <t>K28+604</t>
  </si>
  <si>
    <t>3×20+3×20+3×30</t>
  </si>
  <si>
    <t>半河大桥(左)</t>
  </si>
  <si>
    <t>ZK33+480</t>
  </si>
  <si>
    <t>4×40+4×40+4×30+3×30+3×30+3×40+2×40</t>
  </si>
  <si>
    <t>半河大桥(右)</t>
  </si>
  <si>
    <t>K33+219</t>
  </si>
  <si>
    <t>3×30+4×40+3×30</t>
  </si>
  <si>
    <t>半河1#大桥(右)</t>
  </si>
  <si>
    <t>K33+735</t>
  </si>
  <si>
    <t>4×30+3×40+2×30</t>
  </si>
  <si>
    <t>A1</t>
  </si>
  <si>
    <t>A匝道桥</t>
  </si>
  <si>
    <t>AK0+688.58</t>
  </si>
  <si>
    <t>1*30</t>
  </si>
  <si>
    <t>F匝道桥</t>
  </si>
  <si>
    <t>FK0+471.604</t>
  </si>
  <si>
    <t>预应力混凝土先简支后连续T梁+连续箱梁</t>
  </si>
  <si>
    <t>5×20+2×（3×22.521）</t>
  </si>
  <si>
    <t>L匝道1#桥（连接线）</t>
  </si>
  <si>
    <t>LK0+020</t>
  </si>
  <si>
    <t>预应力混凝土简支T梁</t>
  </si>
  <si>
    <t>1×20</t>
  </si>
  <si>
    <t>L匝道2#桥（连接线）</t>
  </si>
  <si>
    <t>LK0+360.5</t>
  </si>
  <si>
    <t>连续箱梁</t>
  </si>
  <si>
    <t>3×33+2×33</t>
  </si>
  <si>
    <t>L匝道3#桥</t>
  </si>
  <si>
    <t>LK0+680.5</t>
  </si>
  <si>
    <t>28+35+28</t>
  </si>
  <si>
    <t>表5</t>
  </si>
  <si>
    <t>城开高速A1合同段交工验收隧道地质雷达检测费用计算</t>
  </si>
  <si>
    <t>检测隧道单洞长度（km）</t>
  </si>
  <si>
    <t>检测线数（条）</t>
  </si>
  <si>
    <t>隧道衬砌地质雷达扫描</t>
  </si>
  <si>
    <t>隧道外观</t>
  </si>
  <si>
    <t>1～2项检测费用合计</t>
  </si>
  <si>
    <t>税金6%</t>
  </si>
  <si>
    <t>寂静互通竣工验收工程质量检测费用汇总表</t>
  </si>
  <si>
    <t>1~2项小计</t>
  </si>
  <si>
    <t>安全生产措施费（2%包干使用）</t>
  </si>
  <si>
    <t>交通组织费（包干使用）</t>
  </si>
  <si>
    <t>包干费（按2000元/天，共6天计算）</t>
  </si>
  <si>
    <t>方案评审及验收评审二次会议</t>
  </si>
  <si>
    <t>3～7项合计（元）</t>
  </si>
  <si>
    <t>寂静互通竣工验收工程质量常规检测（查）工作费用计算表</t>
  </si>
  <si>
    <t>主线、匝道以及连接线的路基、涵洞、小桥、支挡等</t>
  </si>
  <si>
    <t>km .全幅</t>
  </si>
  <si>
    <t>单价已包含桥检车费用</t>
  </si>
  <si>
    <t>桥梁检测车</t>
  </si>
  <si>
    <t>台班</t>
  </si>
  <si>
    <t>按实计量</t>
  </si>
  <si>
    <t>交通安全设施外观检查</t>
  </si>
  <si>
    <t>1～4项检测费用合计</t>
  </si>
  <si>
    <t>1、单价参照城开高速交工验收工程质量检测AJC限价</t>
  </si>
  <si>
    <t>寂静互通竣工验收路面工程自动化仪器检测费用计算表</t>
  </si>
  <si>
    <t>检测里程   （km .车道）</t>
  </si>
  <si>
    <t>寂静互通</t>
  </si>
  <si>
    <t>50点/km .车道</t>
  </si>
  <si>
    <t>激光弯沉车检测(检测数量不含除桥隧部分)</t>
  </si>
  <si>
    <t>1点/100m .车道</t>
  </si>
  <si>
    <t>车载式激光平整度仪检测</t>
  </si>
  <si>
    <t>1处/20m .车道</t>
  </si>
  <si>
    <t>路面横向力系数检测车检测</t>
  </si>
  <si>
    <t>车载式激光构造深度检测仪</t>
  </si>
  <si>
    <t>1处/200m .车道</t>
  </si>
  <si>
    <t>1处/100m .车道</t>
  </si>
  <si>
    <t>线扫描激光车辙仪</t>
  </si>
  <si>
    <t>绕城高速公路春华立交工程竣工验收工程质量检测费用汇总表</t>
  </si>
  <si>
    <t>绕城高速公路春华立交工程竣工验收工程质量常规检测（查）工作费用计算表</t>
  </si>
  <si>
    <t>跨</t>
  </si>
  <si>
    <t>绕城高速公路春华立交工程竣工验收路面工程自动化仪器检测费用计算表</t>
  </si>
  <si>
    <t>折后单价（元）</t>
  </si>
  <si>
    <t>折后合计（元）</t>
  </si>
  <si>
    <t>春华立交</t>
  </si>
  <si>
    <t>渝武高速公路龙凤溪互通立交工程（拼宽段）竣工验收工程质量检测费用汇总表</t>
  </si>
  <si>
    <t>渝武高速公路龙凤溪互通立交工程（拼宽段）竣工验收工程质量常规检测（查）工作费用计算表</t>
  </si>
  <si>
    <t>渝武高速公路龙凤溪互通立交工程（拼宽段）竣工验收路面工程自动化仪器检测费用计算表</t>
  </si>
  <si>
    <t>龙凤溪互通</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</si>
</sst>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35">
    <font>
      <sz val="11"/>
      <color theme="1"/>
      <name val="宋体"/>
      <charset val="134"/>
      <scheme val="minor"/>
    </font>
    <font>
      <sz val="11"/>
      <color theme="1"/>
      <name val="宋体"/>
      <charset val="134"/>
      <scheme val="major"/>
    </font>
    <font>
      <b/>
      <sz val="12"/>
      <color theme="1"/>
      <name val="宋体"/>
      <charset val="134"/>
      <scheme val="major"/>
    </font>
    <font>
      <sz val="10"/>
      <color theme="1"/>
      <name val="宋体"/>
      <charset val="134"/>
      <scheme val="major"/>
    </font>
    <font>
      <sz val="10"/>
      <name val="宋体"/>
      <charset val="134"/>
      <scheme val="major"/>
    </font>
    <font>
      <sz val="11"/>
      <color theme="1"/>
      <name val="等线 Light"/>
      <charset val="134"/>
    </font>
    <font>
      <b/>
      <sz val="12"/>
      <color theme="1"/>
      <name val="等线 Light"/>
      <charset val="134"/>
    </font>
    <font>
      <sz val="10"/>
      <color theme="1"/>
      <name val="等线 Light"/>
      <charset val="134"/>
    </font>
    <font>
      <sz val="10"/>
      <name val="等线 Light"/>
      <charset val="134"/>
    </font>
    <font>
      <sz val="10"/>
      <color theme="1"/>
      <name val="宋体"/>
      <charset val="134"/>
      <scheme val="minor"/>
    </font>
    <font>
      <sz val="14"/>
      <color theme="1"/>
      <name val="宋体"/>
      <charset val="134"/>
      <scheme val="minor"/>
    </font>
    <font>
      <b/>
      <sz val="10"/>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2"/>
      <name val="Times New Roman"/>
      <charset val="134"/>
    </font>
    <font>
      <b/>
      <sz val="10"/>
      <color theme="1"/>
      <name val="等线 Light"/>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19"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0" applyNumberFormat="0" applyFill="0" applyAlignment="0" applyProtection="0">
      <alignment vertical="center"/>
    </xf>
    <xf numFmtId="0" fontId="23" fillId="0" borderId="20" applyNumberFormat="0" applyFill="0" applyAlignment="0" applyProtection="0">
      <alignment vertical="center"/>
    </xf>
    <xf numFmtId="0" fontId="15" fillId="10" borderId="0" applyNumberFormat="0" applyBorder="0" applyAlignment="0" applyProtection="0">
      <alignment vertical="center"/>
    </xf>
    <xf numFmtId="0" fontId="18" fillId="0" borderId="21" applyNumberFormat="0" applyFill="0" applyAlignment="0" applyProtection="0">
      <alignment vertical="center"/>
    </xf>
    <xf numFmtId="0" fontId="15" fillId="11" borderId="0" applyNumberFormat="0" applyBorder="0" applyAlignment="0" applyProtection="0">
      <alignment vertical="center"/>
    </xf>
    <xf numFmtId="0" fontId="24" fillId="12" borderId="22" applyNumberFormat="0" applyAlignment="0" applyProtection="0">
      <alignment vertical="center"/>
    </xf>
    <xf numFmtId="0" fontId="25" fillId="12" borderId="18" applyNumberFormat="0" applyAlignment="0" applyProtection="0">
      <alignment vertical="center"/>
    </xf>
    <xf numFmtId="0" fontId="26" fillId="13" borderId="23"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24" applyNumberFormat="0" applyFill="0" applyAlignment="0" applyProtection="0">
      <alignment vertical="center"/>
    </xf>
    <xf numFmtId="0" fontId="28" fillId="0" borderId="25"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31" fillId="0" borderId="0">
      <alignment vertical="top"/>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31" fillId="0" borderId="0"/>
    <xf numFmtId="0" fontId="32" fillId="0" borderId="0"/>
  </cellStyleXfs>
  <cellXfs count="81">
    <xf numFmtId="0" fontId="0" fillId="0" borderId="0" xfId="0"/>
    <xf numFmtId="177" fontId="0" fillId="0" borderId="0" xfId="0" applyNumberFormat="1"/>
    <xf numFmtId="0" fontId="1" fillId="0" borderId="0" xfId="0" applyFont="1"/>
    <xf numFmtId="177" fontId="1" fillId="0" borderId="0" xfId="0" applyNumberFormat="1" applyFont="1"/>
    <xf numFmtId="0" fontId="2" fillId="0" borderId="0" xfId="0" applyFont="1" applyAlignment="1">
      <alignment horizontal="center" vertical="center"/>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0" xfId="0" applyFont="1" applyFill="1" applyAlignment="1">
      <alignment horizontal="left" vertical="center" wrapText="1"/>
    </xf>
    <xf numFmtId="176" fontId="3" fillId="0" borderId="1" xfId="0" applyNumberFormat="1" applyFont="1" applyFill="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0" xfId="0" applyFill="1"/>
    <xf numFmtId="0" fontId="5" fillId="0" borderId="0" xfId="0" applyFont="1" applyFill="1" applyAlignment="1">
      <alignment horizontal="left" vertical="center"/>
    </xf>
    <xf numFmtId="0" fontId="5" fillId="0" borderId="0" xfId="0" applyFont="1" applyFill="1"/>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vertical="center" wrapText="1"/>
    </xf>
    <xf numFmtId="177" fontId="8"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0" applyFont="1"/>
    <xf numFmtId="0" fontId="10" fillId="0" borderId="0" xfId="0" applyFont="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178" fontId="7" fillId="0" borderId="1" xfId="0" applyNumberFormat="1" applyFont="1" applyBorder="1" applyAlignment="1">
      <alignment horizontal="center" vertical="center"/>
    </xf>
    <xf numFmtId="0" fontId="7" fillId="0" borderId="4" xfId="0" applyFont="1" applyBorder="1" applyAlignment="1">
      <alignment horizontal="left" vertical="center"/>
    </xf>
    <xf numFmtId="0" fontId="7" fillId="0" borderId="3" xfId="0" applyFont="1" applyBorder="1" applyAlignment="1">
      <alignment horizontal="left" vertical="center"/>
    </xf>
    <xf numFmtId="0" fontId="7" fillId="0" borderId="5" xfId="0" applyFont="1" applyBorder="1" applyAlignment="1">
      <alignment horizontal="left" vertical="center"/>
    </xf>
    <xf numFmtId="0" fontId="3" fillId="0" borderId="0" xfId="0" applyFont="1"/>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center"/>
    </xf>
    <xf numFmtId="0" fontId="11"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2" borderId="1" xfId="0"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4" fillId="0" borderId="1" xfId="41" applyFont="1" applyBorder="1" applyAlignment="1">
      <alignment horizontal="center" vertical="center"/>
    </xf>
    <xf numFmtId="0" fontId="4" fillId="0" borderId="1" xfId="50" applyFont="1" applyBorder="1" applyAlignment="1">
      <alignment horizontal="center" vertical="center" wrapText="1"/>
    </xf>
    <xf numFmtId="0" fontId="4" fillId="0" borderId="1" xfId="51" applyFont="1" applyBorder="1" applyAlignment="1">
      <alignment horizontal="center" vertical="center" wrapText="1"/>
    </xf>
    <xf numFmtId="0" fontId="4" fillId="0" borderId="8" xfId="0" applyFont="1" applyBorder="1" applyAlignment="1">
      <alignment horizontal="center"/>
    </xf>
    <xf numFmtId="0" fontId="4" fillId="0" borderId="1"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2" borderId="12"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3" xfId="0" applyFont="1" applyBorder="1" applyAlignment="1">
      <alignment horizontal="center"/>
    </xf>
    <xf numFmtId="177" fontId="4" fillId="2" borderId="1" xfId="0" applyNumberFormat="1" applyFont="1" applyFill="1" applyBorder="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left" vertical="center"/>
    </xf>
    <xf numFmtId="0" fontId="5" fillId="0" borderId="0" xfId="0" applyFont="1"/>
    <xf numFmtId="0" fontId="7" fillId="0" borderId="1" xfId="0" applyFont="1" applyBorder="1" applyAlignment="1">
      <alignment vertical="center" wrapText="1"/>
    </xf>
    <xf numFmtId="177" fontId="8" fillId="2" borderId="1" xfId="0" applyNumberFormat="1" applyFont="1" applyFill="1" applyBorder="1" applyAlignment="1">
      <alignment horizontal="center" vertical="center" wrapText="1"/>
    </xf>
    <xf numFmtId="176"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4" fillId="0" borderId="0" xfId="0" applyFont="1" applyAlignment="1">
      <alignment horizontal="left" vertical="center" wrapText="1"/>
    </xf>
    <xf numFmtId="0" fontId="10" fillId="0" borderId="0" xfId="0" applyFont="1" applyFill="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常规_酉黔路资产移交总表(1013)改6" xf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样式 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G:\&#37325;&#24198;&#22478;&#21475;&#65288;&#38485;&#28189;&#30028;&#65289;&#33267;&#24320;&#24030;&#39640;&#36895;&#20844;&#36335;A1&#21518;&#32493;&#24037;&#31243;\&#22478;&#24320;&#39640;&#36895;&#20844;&#36335;&#12289;&#26149;&#21326;&#22823;&#36947;&#20114;&#36890;&#31435;&#20132;&#24037;&#31243;&#31561;&#39033;&#30446;&#20132;&#31459;&#24037;&#39564;&#25910;&#36136;&#37327;&#26816;&#27979;\&#22478;&#24320;&#39640;&#36895;&#20844;&#36335;&#12289;&#26149;&#21326;&#22823;&#36947;&#20114;&#36890;&#31435;&#20132;&#24037;&#31243;&#31561;&#39033;&#30446;&#20132;&#31459;&#24037;&#39564;&#25910;&#36136;&#37327;&#26816;&#27979;--&#27491;&#24335;&#31295;\3--&#22478;&#24320;&#39640;&#36895;A1&#21512;&#21516;&#27573;&#20132;&#24037;&#39564;&#25910;&#3848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
      <sheetName val="外观"/>
      <sheetName val="路面"/>
      <sheetName val="荷载试验"/>
      <sheetName val="隧道雷达"/>
      <sheetName val="计算依据"/>
    </sheetNames>
    <sheetDataSet>
      <sheetData sheetId="0"/>
      <sheetData sheetId="1"/>
      <sheetData sheetId="2"/>
      <sheetData sheetId="3"/>
      <sheetData sheetId="4"/>
      <sheetData sheetId="5">
        <row r="9">
          <cell r="I9">
            <v>7813.898</v>
          </cell>
        </row>
        <row r="10">
          <cell r="I10">
            <v>159</v>
          </cell>
        </row>
        <row r="12">
          <cell r="I12">
            <v>352</v>
          </cell>
        </row>
        <row r="13">
          <cell r="I13">
            <v>27798</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10"/>
  <sheetViews>
    <sheetView tabSelected="1" view="pageBreakPreview" zoomScale="115" zoomScaleNormal="100" workbookViewId="0">
      <selection activeCell="B6" sqref="B6"/>
    </sheetView>
  </sheetViews>
  <sheetFormatPr defaultColWidth="9" defaultRowHeight="13.5" outlineLevelCol="4"/>
  <cols>
    <col min="1" max="1" width="6.88333333333333" customWidth="1"/>
    <col min="2" max="2" width="45.75" customWidth="1"/>
    <col min="3" max="3" width="12.5" customWidth="1"/>
    <col min="4" max="4" width="17.75" customWidth="1"/>
    <col min="5" max="5" width="18.775" customWidth="1"/>
  </cols>
  <sheetData>
    <row r="1" ht="21.9" customHeight="1" spans="1:1">
      <c r="A1" s="23"/>
    </row>
    <row r="2" ht="33.9" customHeight="1" spans="1:5">
      <c r="A2" s="80" t="s">
        <v>0</v>
      </c>
      <c r="B2" s="80"/>
      <c r="C2" s="80"/>
      <c r="D2" s="80"/>
      <c r="E2" s="80"/>
    </row>
    <row r="3" ht="24.9" customHeight="1" spans="1:5">
      <c r="A3" s="25" t="s">
        <v>1</v>
      </c>
      <c r="B3" s="25" t="s">
        <v>2</v>
      </c>
      <c r="C3" s="25" t="s">
        <v>3</v>
      </c>
      <c r="D3" s="25" t="s">
        <v>4</v>
      </c>
      <c r="E3" s="25" t="s">
        <v>5</v>
      </c>
    </row>
    <row r="4" ht="24.9" customHeight="1" spans="1:5">
      <c r="A4" s="25"/>
      <c r="B4" s="25"/>
      <c r="C4" s="25"/>
      <c r="D4" s="25" t="s">
        <v>6</v>
      </c>
      <c r="E4" s="25"/>
    </row>
    <row r="5" ht="24.9" customHeight="1" spans="1:5">
      <c r="A5" s="25">
        <v>1</v>
      </c>
      <c r="B5" s="25" t="s">
        <v>7</v>
      </c>
      <c r="C5" s="25">
        <f>'汇总 （城开A1交工检测）'!C13</f>
        <v>2534475</v>
      </c>
      <c r="D5" s="25"/>
      <c r="E5" s="25"/>
    </row>
    <row r="6" ht="24.9" customHeight="1" spans="1:5">
      <c r="A6" s="25">
        <v>2</v>
      </c>
      <c r="B6" s="26" t="s">
        <v>8</v>
      </c>
      <c r="C6" s="26">
        <f>'汇总 (寂静互通)'!C12</f>
        <v>139661</v>
      </c>
      <c r="D6" s="25"/>
      <c r="E6" s="27"/>
    </row>
    <row r="7" ht="24.9" customHeight="1" spans="1:5">
      <c r="A7" s="25">
        <v>3</v>
      </c>
      <c r="B7" s="25" t="s">
        <v>9</v>
      </c>
      <c r="C7" s="25">
        <f>'汇总 (春华立交)'!C12</f>
        <v>209515</v>
      </c>
      <c r="D7" s="25"/>
      <c r="E7" s="25"/>
    </row>
    <row r="8" ht="24.9" customHeight="1" spans="1:5">
      <c r="A8" s="25">
        <v>4</v>
      </c>
      <c r="B8" s="25" t="s">
        <v>10</v>
      </c>
      <c r="C8" s="25">
        <f>'汇总 (龙凤溪互通)'!C12</f>
        <v>147619</v>
      </c>
      <c r="D8" s="25"/>
      <c r="E8" s="25"/>
    </row>
    <row r="9" ht="24.9" customHeight="1" spans="1:5">
      <c r="A9" s="25" t="s">
        <v>11</v>
      </c>
      <c r="B9" s="25"/>
      <c r="C9" s="28">
        <f>SUM(C5:C8)</f>
        <v>3031270</v>
      </c>
      <c r="D9" s="25"/>
      <c r="E9" s="25"/>
    </row>
    <row r="10" ht="24.9" customHeight="1" spans="1:5">
      <c r="A10" s="29" t="s">
        <v>12</v>
      </c>
      <c r="B10" s="30"/>
      <c r="C10" s="30"/>
      <c r="D10" s="30"/>
      <c r="E10" s="31"/>
    </row>
  </sheetData>
  <mergeCells count="7">
    <mergeCell ref="A2:E2"/>
    <mergeCell ref="A9:B9"/>
    <mergeCell ref="A10:E10"/>
    <mergeCell ref="A3:A4"/>
    <mergeCell ref="B3:B4"/>
    <mergeCell ref="C3:C4"/>
    <mergeCell ref="E3:E4"/>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view="pageBreakPreview" zoomScale="115" zoomScaleNormal="100" workbookViewId="0">
      <selection activeCell="C6" sqref="C6"/>
    </sheetView>
  </sheetViews>
  <sheetFormatPr defaultColWidth="9" defaultRowHeight="13.5" outlineLevelCol="4"/>
  <cols>
    <col min="1" max="1" width="6.88333333333333" customWidth="1"/>
    <col min="2" max="2" width="40.625" customWidth="1"/>
    <col min="3" max="4" width="16.625" customWidth="1"/>
    <col min="5" max="5" width="25.625" customWidth="1"/>
  </cols>
  <sheetData>
    <row r="1" ht="21.9" customHeight="1" spans="1:1">
      <c r="A1" s="23" t="s">
        <v>13</v>
      </c>
    </row>
    <row r="2" ht="33.9" customHeight="1" spans="1:5">
      <c r="A2" s="24" t="s">
        <v>199</v>
      </c>
      <c r="B2" s="24"/>
      <c r="C2" s="24"/>
      <c r="D2" s="24"/>
      <c r="E2" s="24"/>
    </row>
    <row r="3" ht="24.9" customHeight="1" spans="1:5">
      <c r="A3" s="25" t="s">
        <v>1</v>
      </c>
      <c r="B3" s="25" t="s">
        <v>2</v>
      </c>
      <c r="C3" s="25" t="s">
        <v>3</v>
      </c>
      <c r="D3" s="25" t="s">
        <v>4</v>
      </c>
      <c r="E3" s="25" t="s">
        <v>5</v>
      </c>
    </row>
    <row r="4" ht="24.9" customHeight="1" spans="1:5">
      <c r="A4" s="25"/>
      <c r="B4" s="25"/>
      <c r="C4" s="25"/>
      <c r="D4" s="25" t="s">
        <v>6</v>
      </c>
      <c r="E4" s="25"/>
    </row>
    <row r="5" ht="24.9" customHeight="1" spans="1:5">
      <c r="A5" s="25">
        <v>1</v>
      </c>
      <c r="B5" s="25" t="s">
        <v>15</v>
      </c>
      <c r="C5" s="25">
        <f>'外观 (春华立交)'!H10</f>
        <v>115799</v>
      </c>
      <c r="D5" s="25"/>
      <c r="E5" s="25"/>
    </row>
    <row r="6" ht="24.9" customHeight="1" spans="1:5">
      <c r="A6" s="25">
        <v>2</v>
      </c>
      <c r="B6" s="26" t="s">
        <v>16</v>
      </c>
      <c r="C6" s="26">
        <f>'路面 (春华立交)'!H11</f>
        <v>19020</v>
      </c>
      <c r="D6" s="25"/>
      <c r="E6" s="27"/>
    </row>
    <row r="7" ht="24.9" customHeight="1" spans="1:5">
      <c r="A7" s="25">
        <v>3</v>
      </c>
      <c r="B7" s="25" t="s">
        <v>170</v>
      </c>
      <c r="C7" s="25">
        <f>SUM(C5:C6)</f>
        <v>134819</v>
      </c>
      <c r="D7" s="25"/>
      <c r="E7" s="25"/>
    </row>
    <row r="8" ht="24.9" customHeight="1" spans="1:5">
      <c r="A8" s="25">
        <v>4</v>
      </c>
      <c r="B8" s="25" t="s">
        <v>171</v>
      </c>
      <c r="C8" s="28">
        <f>ROUND(C7*2%,0)</f>
        <v>2696</v>
      </c>
      <c r="D8" s="25"/>
      <c r="E8" s="25"/>
    </row>
    <row r="9" ht="39.6" customHeight="1" spans="1:5">
      <c r="A9" s="25">
        <v>5</v>
      </c>
      <c r="B9" s="25" t="s">
        <v>172</v>
      </c>
      <c r="C9" s="25">
        <v>12000</v>
      </c>
      <c r="D9" s="25"/>
      <c r="E9" s="27" t="s">
        <v>173</v>
      </c>
    </row>
    <row r="10" ht="24.9" customHeight="1" spans="1:5">
      <c r="A10" s="25">
        <v>6</v>
      </c>
      <c r="B10" s="25" t="s">
        <v>21</v>
      </c>
      <c r="C10" s="25">
        <v>40000</v>
      </c>
      <c r="D10" s="27"/>
      <c r="E10" s="27" t="s">
        <v>174</v>
      </c>
    </row>
    <row r="11" ht="24.9" customHeight="1" spans="1:5">
      <c r="A11" s="25">
        <v>7</v>
      </c>
      <c r="B11" s="25" t="s">
        <v>23</v>
      </c>
      <c r="C11" s="28">
        <v>20000</v>
      </c>
      <c r="D11" s="25"/>
      <c r="E11" s="25"/>
    </row>
    <row r="12" ht="24.9" customHeight="1" spans="1:5">
      <c r="A12" s="25" t="s">
        <v>175</v>
      </c>
      <c r="B12" s="25"/>
      <c r="C12" s="28">
        <f>SUM(C7:C11)</f>
        <v>209515</v>
      </c>
      <c r="D12" s="25"/>
      <c r="E12" s="25"/>
    </row>
    <row r="13" ht="24.9" customHeight="1" spans="1:5">
      <c r="A13" s="29" t="s">
        <v>12</v>
      </c>
      <c r="B13" s="30"/>
      <c r="C13" s="30"/>
      <c r="D13" s="30"/>
      <c r="E13" s="31"/>
    </row>
  </sheetData>
  <mergeCells count="7">
    <mergeCell ref="A2:E2"/>
    <mergeCell ref="A12:B12"/>
    <mergeCell ref="A13:E13"/>
    <mergeCell ref="A3:A4"/>
    <mergeCell ref="B3:B4"/>
    <mergeCell ref="C3:C4"/>
    <mergeCell ref="E3:E4"/>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view="pageBreakPreview" zoomScaleNormal="100" workbookViewId="0">
      <selection activeCell="C9" sqref="C9"/>
    </sheetView>
  </sheetViews>
  <sheetFormatPr defaultColWidth="9" defaultRowHeight="13.5"/>
  <cols>
    <col min="1" max="1" width="6.775" style="12" customWidth="1"/>
    <col min="2" max="2" width="10.625" style="12" customWidth="1"/>
    <col min="3" max="3" width="20.6666666666667" style="12" customWidth="1"/>
    <col min="4" max="4" width="35.3333333333333" style="12" customWidth="1"/>
    <col min="5" max="9" width="10.625" style="12" customWidth="1"/>
    <col min="10" max="16384" width="9" style="12"/>
  </cols>
  <sheetData>
    <row r="1" ht="14.25" spans="1:8">
      <c r="A1" s="13" t="s">
        <v>25</v>
      </c>
      <c r="B1" s="14"/>
      <c r="C1" s="14"/>
      <c r="D1" s="14"/>
      <c r="E1" s="14"/>
      <c r="F1" s="14"/>
      <c r="G1" s="14"/>
      <c r="H1" s="14"/>
    </row>
    <row r="2" ht="27.9" customHeight="1" spans="1:8">
      <c r="A2" s="15" t="s">
        <v>200</v>
      </c>
      <c r="B2" s="15"/>
      <c r="C2" s="15"/>
      <c r="D2" s="15"/>
      <c r="E2" s="15"/>
      <c r="F2" s="15"/>
      <c r="G2" s="15"/>
      <c r="H2" s="15"/>
    </row>
    <row r="3" ht="21.9" customHeight="1" spans="1:9">
      <c r="A3" s="16" t="s">
        <v>1</v>
      </c>
      <c r="B3" s="16" t="s">
        <v>27</v>
      </c>
      <c r="C3" s="16" t="s">
        <v>28</v>
      </c>
      <c r="D3" s="16" t="s">
        <v>29</v>
      </c>
      <c r="E3" s="16" t="s">
        <v>30</v>
      </c>
      <c r="F3" s="16"/>
      <c r="G3" s="16"/>
      <c r="H3" s="16"/>
      <c r="I3" s="16"/>
    </row>
    <row r="4" ht="26" customHeight="1" spans="1:9">
      <c r="A4" s="16"/>
      <c r="B4" s="16"/>
      <c r="C4" s="16"/>
      <c r="D4" s="16"/>
      <c r="E4" s="16" t="s">
        <v>31</v>
      </c>
      <c r="F4" s="16" t="s">
        <v>32</v>
      </c>
      <c r="G4" s="16" t="s">
        <v>33</v>
      </c>
      <c r="H4" s="16" t="s">
        <v>34</v>
      </c>
      <c r="I4" s="16" t="s">
        <v>5</v>
      </c>
    </row>
    <row r="5" ht="72.9" customHeight="1" spans="1:9">
      <c r="A5" s="16">
        <v>1</v>
      </c>
      <c r="B5" s="16" t="s">
        <v>35</v>
      </c>
      <c r="C5" s="18" t="s">
        <v>177</v>
      </c>
      <c r="D5" s="16" t="s">
        <v>37</v>
      </c>
      <c r="E5" s="16" t="s">
        <v>178</v>
      </c>
      <c r="F5" s="19">
        <v>5.719</v>
      </c>
      <c r="G5" s="16">
        <v>816</v>
      </c>
      <c r="H5" s="20">
        <f t="shared" ref="H5:H9" si="0">ROUND(F5*G5,0)</f>
        <v>4667</v>
      </c>
      <c r="I5" s="20"/>
    </row>
    <row r="6" ht="45.9" customHeight="1" spans="1:9">
      <c r="A6" s="16">
        <v>2</v>
      </c>
      <c r="B6" s="16" t="s">
        <v>39</v>
      </c>
      <c r="C6" s="16" t="s">
        <v>40</v>
      </c>
      <c r="D6" s="16" t="s">
        <v>41</v>
      </c>
      <c r="E6" s="16" t="s">
        <v>178</v>
      </c>
      <c r="F6" s="19">
        <v>7.391</v>
      </c>
      <c r="G6" s="16">
        <v>198</v>
      </c>
      <c r="H6" s="20">
        <f t="shared" si="0"/>
        <v>1463</v>
      </c>
      <c r="I6" s="20"/>
    </row>
    <row r="7" ht="63.9" customHeight="1" spans="1:9">
      <c r="A7" s="21">
        <v>3</v>
      </c>
      <c r="B7" s="21" t="s">
        <v>43</v>
      </c>
      <c r="C7" s="16" t="s">
        <v>156</v>
      </c>
      <c r="D7" s="16" t="s">
        <v>45</v>
      </c>
      <c r="E7" s="16" t="s">
        <v>201</v>
      </c>
      <c r="F7" s="16">
        <v>61</v>
      </c>
      <c r="G7" s="16">
        <v>1215</v>
      </c>
      <c r="H7" s="20">
        <f t="shared" si="0"/>
        <v>74115</v>
      </c>
      <c r="I7" s="20" t="s">
        <v>179</v>
      </c>
    </row>
    <row r="8" ht="63.9" customHeight="1" spans="1:9">
      <c r="A8" s="17"/>
      <c r="B8" s="17"/>
      <c r="C8" s="22" t="s">
        <v>180</v>
      </c>
      <c r="D8" s="16"/>
      <c r="E8" s="16" t="s">
        <v>181</v>
      </c>
      <c r="F8" s="19">
        <v>5</v>
      </c>
      <c r="G8" s="16">
        <v>6000</v>
      </c>
      <c r="H8" s="20">
        <f t="shared" si="0"/>
        <v>30000</v>
      </c>
      <c r="I8" s="20" t="s">
        <v>182</v>
      </c>
    </row>
    <row r="9" ht="51" spans="1:9">
      <c r="A9" s="16">
        <v>4</v>
      </c>
      <c r="B9" s="16" t="s">
        <v>57</v>
      </c>
      <c r="C9" s="22" t="s">
        <v>183</v>
      </c>
      <c r="D9" s="16" t="s">
        <v>59</v>
      </c>
      <c r="E9" s="16" t="s">
        <v>178</v>
      </c>
      <c r="F9" s="19">
        <v>7.391</v>
      </c>
      <c r="G9" s="16">
        <v>751.5</v>
      </c>
      <c r="H9" s="20">
        <f t="shared" si="0"/>
        <v>5554</v>
      </c>
      <c r="I9" s="20"/>
    </row>
    <row r="10" ht="24.9" customHeight="1" spans="1:9">
      <c r="A10" s="16">
        <v>5</v>
      </c>
      <c r="B10" s="16" t="s">
        <v>184</v>
      </c>
      <c r="C10" s="16"/>
      <c r="D10" s="16"/>
      <c r="E10" s="16"/>
      <c r="F10" s="16"/>
      <c r="G10" s="16"/>
      <c r="H10" s="20">
        <f>SUM(H5:H9)</f>
        <v>115799</v>
      </c>
      <c r="I10" s="20"/>
    </row>
    <row r="11" ht="24" customHeight="1" spans="1:8">
      <c r="A11" s="9" t="s">
        <v>185</v>
      </c>
      <c r="B11" s="9"/>
      <c r="C11" s="9"/>
      <c r="D11" s="9"/>
      <c r="E11" s="9"/>
      <c r="F11" s="9"/>
      <c r="G11" s="9"/>
      <c r="H11" s="9"/>
    </row>
  </sheetData>
  <mergeCells count="10">
    <mergeCell ref="A2:H2"/>
    <mergeCell ref="E3:I3"/>
    <mergeCell ref="B10:G10"/>
    <mergeCell ref="A11:H11"/>
    <mergeCell ref="A3:A4"/>
    <mergeCell ref="A7:A8"/>
    <mergeCell ref="B3:B4"/>
    <mergeCell ref="B7:B8"/>
    <mergeCell ref="C3:C4"/>
    <mergeCell ref="D3:D4"/>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view="pageBreakPreview" zoomScaleNormal="100" workbookViewId="0">
      <selection activeCell="C9" sqref="C9"/>
    </sheetView>
  </sheetViews>
  <sheetFormatPr defaultColWidth="9" defaultRowHeight="13.5"/>
  <cols>
    <col min="1" max="1" width="10" customWidth="1"/>
    <col min="2" max="2" width="11" customWidth="1"/>
    <col min="3" max="3" width="15.6666666666667" customWidth="1"/>
    <col min="4" max="4" width="13.3333333333333" style="1" customWidth="1"/>
    <col min="5" max="5" width="24.1083333333333" customWidth="1"/>
    <col min="6" max="6" width="9.40833333333333" customWidth="1"/>
    <col min="7" max="7" width="12.3333333333333" hidden="1" customWidth="1"/>
    <col min="8" max="8" width="11.4666666666667" customWidth="1"/>
    <col min="9" max="9" width="13.6666666666667" hidden="1" customWidth="1"/>
    <col min="10" max="10" width="24.2666666666667" customWidth="1"/>
    <col min="12" max="12" width="29" customWidth="1"/>
  </cols>
  <sheetData>
    <row r="1" spans="1:10">
      <c r="A1" s="2" t="s">
        <v>65</v>
      </c>
      <c r="B1" s="2"/>
      <c r="C1" s="2"/>
      <c r="D1" s="3"/>
      <c r="E1" s="2"/>
      <c r="F1" s="2"/>
      <c r="G1" s="2"/>
      <c r="H1" s="2"/>
      <c r="I1" s="2"/>
      <c r="J1" s="2"/>
    </row>
    <row r="2" ht="32.1" customHeight="1" spans="1:10">
      <c r="A2" s="4" t="s">
        <v>202</v>
      </c>
      <c r="B2" s="4"/>
      <c r="C2" s="4"/>
      <c r="D2" s="4"/>
      <c r="E2" s="4"/>
      <c r="F2" s="4"/>
      <c r="G2" s="4"/>
      <c r="H2" s="4"/>
      <c r="I2" s="4"/>
      <c r="J2" s="4"/>
    </row>
    <row r="3" ht="35.1" customHeight="1" spans="1:10">
      <c r="A3" s="5" t="s">
        <v>67</v>
      </c>
      <c r="B3" s="5" t="s">
        <v>68</v>
      </c>
      <c r="C3" s="5" t="s">
        <v>69</v>
      </c>
      <c r="D3" s="6" t="s">
        <v>187</v>
      </c>
      <c r="E3" s="5" t="s">
        <v>71</v>
      </c>
      <c r="F3" s="5" t="s">
        <v>33</v>
      </c>
      <c r="G3" s="5" t="s">
        <v>203</v>
      </c>
      <c r="H3" s="5" t="s">
        <v>34</v>
      </c>
      <c r="I3" s="5" t="s">
        <v>204</v>
      </c>
      <c r="J3" s="5" t="s">
        <v>5</v>
      </c>
    </row>
    <row r="4" ht="35.1" customHeight="1" spans="1:10">
      <c r="A4" s="5" t="s">
        <v>205</v>
      </c>
      <c r="B4" s="5" t="s">
        <v>39</v>
      </c>
      <c r="C4" s="7" t="s">
        <v>73</v>
      </c>
      <c r="D4" s="8">
        <v>10.686</v>
      </c>
      <c r="E4" s="7" t="s">
        <v>189</v>
      </c>
      <c r="F4" s="5">
        <f>1000*0.6</f>
        <v>600</v>
      </c>
      <c r="G4" s="7">
        <f t="shared" ref="G4:G10" si="0">ROUND(F4*0.6,0)</f>
        <v>360</v>
      </c>
      <c r="H4" s="7">
        <f t="shared" ref="H4:H10" si="1">ROUND(D4*F4,0)</f>
        <v>6412</v>
      </c>
      <c r="I4" s="10">
        <f t="shared" ref="I4:I10" si="2">ROUND(D4*G4,0)</f>
        <v>3847</v>
      </c>
      <c r="J4" s="7" t="s">
        <v>190</v>
      </c>
    </row>
    <row r="5" ht="35.1" customHeight="1" spans="1:10">
      <c r="A5" s="5"/>
      <c r="B5" s="5"/>
      <c r="C5" s="7" t="s">
        <v>76</v>
      </c>
      <c r="D5" s="8">
        <v>14.841</v>
      </c>
      <c r="E5" s="7" t="s">
        <v>191</v>
      </c>
      <c r="F5" s="5">
        <f>200*0.6</f>
        <v>120</v>
      </c>
      <c r="G5" s="7">
        <f t="shared" si="0"/>
        <v>72</v>
      </c>
      <c r="H5" s="7">
        <f t="shared" si="1"/>
        <v>1781</v>
      </c>
      <c r="I5" s="10">
        <f t="shared" si="2"/>
        <v>1069</v>
      </c>
      <c r="J5" s="7" t="s">
        <v>192</v>
      </c>
    </row>
    <row r="6" ht="35.1" customHeight="1" spans="1:10">
      <c r="A6" s="5"/>
      <c r="B6" s="5"/>
      <c r="C6" s="7" t="s">
        <v>79</v>
      </c>
      <c r="D6" s="8">
        <v>14.841</v>
      </c>
      <c r="E6" s="7" t="s">
        <v>193</v>
      </c>
      <c r="F6" s="5">
        <f>500*0.6</f>
        <v>300</v>
      </c>
      <c r="G6" s="7">
        <f t="shared" si="0"/>
        <v>180</v>
      </c>
      <c r="H6" s="7">
        <f t="shared" si="1"/>
        <v>4452</v>
      </c>
      <c r="I6" s="10">
        <f t="shared" si="2"/>
        <v>2671</v>
      </c>
      <c r="J6" s="7" t="s">
        <v>194</v>
      </c>
    </row>
    <row r="7" ht="35.1" customHeight="1" spans="1:10">
      <c r="A7" s="5"/>
      <c r="B7" s="5"/>
      <c r="C7" s="7" t="s">
        <v>81</v>
      </c>
      <c r="D7" s="8">
        <v>14.841</v>
      </c>
      <c r="E7" s="7" t="s">
        <v>193</v>
      </c>
      <c r="F7" s="5">
        <f>500*0.6</f>
        <v>300</v>
      </c>
      <c r="G7" s="7">
        <f t="shared" si="0"/>
        <v>180</v>
      </c>
      <c r="H7" s="7">
        <f t="shared" si="1"/>
        <v>4452</v>
      </c>
      <c r="I7" s="10">
        <f t="shared" si="2"/>
        <v>2671</v>
      </c>
      <c r="J7" s="7" t="s">
        <v>195</v>
      </c>
    </row>
    <row r="8" ht="35.1" customHeight="1" spans="1:10">
      <c r="A8" s="5"/>
      <c r="B8" s="5"/>
      <c r="C8" s="7" t="s">
        <v>83</v>
      </c>
      <c r="D8" s="8">
        <v>0</v>
      </c>
      <c r="E8" s="7" t="s">
        <v>196</v>
      </c>
      <c r="F8" s="5">
        <f>800*0.6</f>
        <v>480</v>
      </c>
      <c r="G8" s="7">
        <f t="shared" si="0"/>
        <v>288</v>
      </c>
      <c r="H8" s="7">
        <f t="shared" si="1"/>
        <v>0</v>
      </c>
      <c r="I8" s="10">
        <f t="shared" si="2"/>
        <v>0</v>
      </c>
      <c r="J8" s="7" t="s">
        <v>84</v>
      </c>
    </row>
    <row r="9" ht="35.1" customHeight="1" spans="1:10">
      <c r="A9" s="5"/>
      <c r="B9" s="5"/>
      <c r="C9" s="7" t="s">
        <v>85</v>
      </c>
      <c r="D9" s="8">
        <v>0</v>
      </c>
      <c r="E9" s="7" t="s">
        <v>196</v>
      </c>
      <c r="F9" s="5">
        <f>250*0.6</f>
        <v>150</v>
      </c>
      <c r="G9" s="7">
        <f t="shared" si="0"/>
        <v>90</v>
      </c>
      <c r="H9" s="7">
        <f t="shared" si="1"/>
        <v>0</v>
      </c>
      <c r="I9" s="10">
        <f t="shared" si="2"/>
        <v>0</v>
      </c>
      <c r="J9" s="7" t="s">
        <v>86</v>
      </c>
    </row>
    <row r="10" ht="35.1" customHeight="1" spans="1:10">
      <c r="A10" s="5"/>
      <c r="B10" s="5"/>
      <c r="C10" s="7" t="s">
        <v>87</v>
      </c>
      <c r="D10" s="8">
        <v>10.686</v>
      </c>
      <c r="E10" s="7" t="s">
        <v>197</v>
      </c>
      <c r="F10" s="5">
        <f>300*0.6</f>
        <v>180</v>
      </c>
      <c r="G10" s="7">
        <f t="shared" si="0"/>
        <v>108</v>
      </c>
      <c r="H10" s="7">
        <f t="shared" si="1"/>
        <v>1923</v>
      </c>
      <c r="I10" s="10">
        <f t="shared" si="2"/>
        <v>1154</v>
      </c>
      <c r="J10" s="7" t="s">
        <v>198</v>
      </c>
    </row>
    <row r="11" ht="35.1" customHeight="1" spans="1:10">
      <c r="A11" s="5" t="s">
        <v>89</v>
      </c>
      <c r="B11" s="5"/>
      <c r="C11" s="5"/>
      <c r="D11" s="5"/>
      <c r="E11" s="5"/>
      <c r="F11" s="5"/>
      <c r="G11" s="5"/>
      <c r="H11" s="5">
        <f>SUM(H4:H10)</f>
        <v>19020</v>
      </c>
      <c r="I11" s="11">
        <f>SUM(I4:I10)</f>
        <v>11412</v>
      </c>
      <c r="J11" s="5"/>
    </row>
    <row r="12" ht="24.9" customHeight="1" spans="1:10">
      <c r="A12" s="9" t="s">
        <v>185</v>
      </c>
      <c r="B12" s="9"/>
      <c r="C12" s="9"/>
      <c r="D12" s="9"/>
      <c r="E12" s="9"/>
      <c r="F12" s="9"/>
      <c r="G12" s="9"/>
      <c r="H12" s="9"/>
      <c r="I12" s="9"/>
      <c r="J12" s="9"/>
    </row>
  </sheetData>
  <mergeCells count="5">
    <mergeCell ref="A2:J2"/>
    <mergeCell ref="A11:G11"/>
    <mergeCell ref="A12:J12"/>
    <mergeCell ref="A4:A10"/>
    <mergeCell ref="B4:B10"/>
  </mergeCells>
  <pageMargins left="0.7" right="0.7" top="0.75" bottom="0.75" header="0.3" footer="0.3"/>
  <pageSetup paperSize="9" fitToWidth="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view="pageBreakPreview" zoomScale="115" zoomScaleNormal="100" workbookViewId="0">
      <selection activeCell="C5" sqref="C5"/>
    </sheetView>
  </sheetViews>
  <sheetFormatPr defaultColWidth="9" defaultRowHeight="13.5" outlineLevelCol="4"/>
  <cols>
    <col min="1" max="1" width="6.88333333333333" customWidth="1"/>
    <col min="2" max="2" width="40.625" customWidth="1"/>
    <col min="3" max="4" width="16.625" customWidth="1"/>
    <col min="5" max="5" width="25.625" customWidth="1"/>
  </cols>
  <sheetData>
    <row r="1" ht="21.9" customHeight="1" spans="1:1">
      <c r="A1" s="23" t="s">
        <v>13</v>
      </c>
    </row>
    <row r="2" ht="33.9" customHeight="1" spans="1:5">
      <c r="A2" s="24" t="s">
        <v>206</v>
      </c>
      <c r="B2" s="24"/>
      <c r="C2" s="24"/>
      <c r="D2" s="24"/>
      <c r="E2" s="24"/>
    </row>
    <row r="3" ht="24.9" customHeight="1" spans="1:5">
      <c r="A3" s="25" t="s">
        <v>1</v>
      </c>
      <c r="B3" s="25" t="s">
        <v>2</v>
      </c>
      <c r="C3" s="25" t="s">
        <v>3</v>
      </c>
      <c r="D3" s="25" t="s">
        <v>4</v>
      </c>
      <c r="E3" s="25" t="s">
        <v>5</v>
      </c>
    </row>
    <row r="4" ht="24.9" customHeight="1" spans="1:5">
      <c r="A4" s="25"/>
      <c r="B4" s="25"/>
      <c r="C4" s="25"/>
      <c r="D4" s="25" t="s">
        <v>6</v>
      </c>
      <c r="E4" s="25"/>
    </row>
    <row r="5" ht="24.9" customHeight="1" spans="1:5">
      <c r="A5" s="25">
        <v>1</v>
      </c>
      <c r="B5" s="25" t="s">
        <v>15</v>
      </c>
      <c r="C5" s="25">
        <f>'外观(龙凤溪互通)'!H10</f>
        <v>72886</v>
      </c>
      <c r="D5" s="25"/>
      <c r="E5" s="25"/>
    </row>
    <row r="6" ht="24.9" customHeight="1" spans="1:5">
      <c r="A6" s="25">
        <v>2</v>
      </c>
      <c r="B6" s="26" t="s">
        <v>16</v>
      </c>
      <c r="C6" s="26">
        <f>'路面(龙凤溪互通)'!H11</f>
        <v>1250</v>
      </c>
      <c r="D6" s="25"/>
      <c r="E6" s="27"/>
    </row>
    <row r="7" ht="24.9" customHeight="1" spans="1:5">
      <c r="A7" s="25">
        <v>3</v>
      </c>
      <c r="B7" s="25" t="s">
        <v>170</v>
      </c>
      <c r="C7" s="25">
        <f>SUM(C5:C6)</f>
        <v>74136</v>
      </c>
      <c r="D7" s="25"/>
      <c r="E7" s="25"/>
    </row>
    <row r="8" ht="24.9" customHeight="1" spans="1:5">
      <c r="A8" s="25">
        <v>4</v>
      </c>
      <c r="B8" s="25" t="s">
        <v>171</v>
      </c>
      <c r="C8" s="28">
        <f>ROUND(C7*2%,0)</f>
        <v>1483</v>
      </c>
      <c r="D8" s="25"/>
      <c r="E8" s="25"/>
    </row>
    <row r="9" ht="39.6" customHeight="1" spans="1:5">
      <c r="A9" s="25">
        <v>5</v>
      </c>
      <c r="B9" s="25" t="s">
        <v>172</v>
      </c>
      <c r="C9" s="25">
        <v>12000</v>
      </c>
      <c r="D9" s="25"/>
      <c r="E9" s="27" t="s">
        <v>173</v>
      </c>
    </row>
    <row r="10" ht="24.9" customHeight="1" spans="1:5">
      <c r="A10" s="25">
        <v>6</v>
      </c>
      <c r="B10" s="25" t="s">
        <v>21</v>
      </c>
      <c r="C10" s="25">
        <v>40000</v>
      </c>
      <c r="D10" s="27"/>
      <c r="E10" s="27" t="s">
        <v>174</v>
      </c>
    </row>
    <row r="11" ht="24.9" customHeight="1" spans="1:5">
      <c r="A11" s="25">
        <v>7</v>
      </c>
      <c r="B11" s="25" t="s">
        <v>23</v>
      </c>
      <c r="C11" s="28">
        <v>20000</v>
      </c>
      <c r="D11" s="25"/>
      <c r="E11" s="25"/>
    </row>
    <row r="12" ht="24.9" customHeight="1" spans="1:5">
      <c r="A12" s="25" t="s">
        <v>175</v>
      </c>
      <c r="B12" s="25"/>
      <c r="C12" s="28">
        <f>SUM(C7:C11)</f>
        <v>147619</v>
      </c>
      <c r="D12" s="25"/>
      <c r="E12" s="25"/>
    </row>
    <row r="13" ht="24.9" customHeight="1" spans="1:5">
      <c r="A13" s="29" t="s">
        <v>12</v>
      </c>
      <c r="B13" s="30"/>
      <c r="C13" s="30"/>
      <c r="D13" s="30"/>
      <c r="E13" s="31"/>
    </row>
  </sheetData>
  <mergeCells count="7">
    <mergeCell ref="A2:E2"/>
    <mergeCell ref="A12:B12"/>
    <mergeCell ref="A13:E13"/>
    <mergeCell ref="A3:A4"/>
    <mergeCell ref="B3:B4"/>
    <mergeCell ref="C3:C4"/>
    <mergeCell ref="E3:E4"/>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view="pageBreakPreview" zoomScaleNormal="100" workbookViewId="0">
      <selection activeCell="C9" sqref="C9"/>
    </sheetView>
  </sheetViews>
  <sheetFormatPr defaultColWidth="9" defaultRowHeight="13.5"/>
  <cols>
    <col min="1" max="1" width="6.775" style="12" customWidth="1"/>
    <col min="2" max="2" width="10.625" style="12" customWidth="1"/>
    <col min="3" max="3" width="20.6666666666667" style="12" customWidth="1"/>
    <col min="4" max="4" width="35.3333333333333" style="12" customWidth="1"/>
    <col min="5" max="9" width="10.625" style="12" customWidth="1"/>
    <col min="10" max="16384" width="9" style="12"/>
  </cols>
  <sheetData>
    <row r="1" ht="14.25" spans="1:8">
      <c r="A1" s="13" t="s">
        <v>25</v>
      </c>
      <c r="B1" s="14"/>
      <c r="C1" s="14"/>
      <c r="D1" s="14"/>
      <c r="E1" s="14"/>
      <c r="F1" s="14"/>
      <c r="G1" s="14"/>
      <c r="H1" s="14"/>
    </row>
    <row r="2" ht="27.9" customHeight="1" spans="1:8">
      <c r="A2" s="15" t="s">
        <v>207</v>
      </c>
      <c r="B2" s="15"/>
      <c r="C2" s="15"/>
      <c r="D2" s="15"/>
      <c r="E2" s="15"/>
      <c r="F2" s="15"/>
      <c r="G2" s="15"/>
      <c r="H2" s="15"/>
    </row>
    <row r="3" ht="21.9" customHeight="1" spans="1:9">
      <c r="A3" s="16" t="s">
        <v>1</v>
      </c>
      <c r="B3" s="16" t="s">
        <v>27</v>
      </c>
      <c r="C3" s="16" t="s">
        <v>28</v>
      </c>
      <c r="D3" s="16" t="s">
        <v>29</v>
      </c>
      <c r="E3" s="16" t="s">
        <v>30</v>
      </c>
      <c r="F3" s="16"/>
      <c r="G3" s="16"/>
      <c r="H3" s="16"/>
      <c r="I3" s="16"/>
    </row>
    <row r="4" ht="26" customHeight="1" spans="1:9">
      <c r="A4" s="16"/>
      <c r="B4" s="16"/>
      <c r="C4" s="16"/>
      <c r="D4" s="16"/>
      <c r="E4" s="17" t="s">
        <v>31</v>
      </c>
      <c r="F4" s="17" t="s">
        <v>32</v>
      </c>
      <c r="G4" s="17" t="s">
        <v>33</v>
      </c>
      <c r="H4" s="17" t="s">
        <v>34</v>
      </c>
      <c r="I4" s="17" t="s">
        <v>5</v>
      </c>
    </row>
    <row r="5" ht="72.9" customHeight="1" spans="1:9">
      <c r="A5" s="16">
        <v>1</v>
      </c>
      <c r="B5" s="16" t="s">
        <v>35</v>
      </c>
      <c r="C5" s="18" t="s">
        <v>177</v>
      </c>
      <c r="D5" s="16" t="s">
        <v>37</v>
      </c>
      <c r="E5" s="16" t="s">
        <v>178</v>
      </c>
      <c r="F5" s="19">
        <v>0.35</v>
      </c>
      <c r="G5" s="16">
        <v>816</v>
      </c>
      <c r="H5" s="20">
        <f t="shared" ref="H5:H9" si="0">ROUND(F5*G5,0)</f>
        <v>286</v>
      </c>
      <c r="I5" s="20"/>
    </row>
    <row r="6" ht="45.9" customHeight="1" spans="1:9">
      <c r="A6" s="16">
        <v>2</v>
      </c>
      <c r="B6" s="16" t="s">
        <v>39</v>
      </c>
      <c r="C6" s="16" t="s">
        <v>40</v>
      </c>
      <c r="D6" s="16" t="s">
        <v>41</v>
      </c>
      <c r="E6" s="16" t="s">
        <v>178</v>
      </c>
      <c r="F6" s="19">
        <v>1.358</v>
      </c>
      <c r="G6" s="16">
        <v>198</v>
      </c>
      <c r="H6" s="20">
        <f t="shared" si="0"/>
        <v>269</v>
      </c>
      <c r="I6" s="20"/>
    </row>
    <row r="7" ht="63.9" customHeight="1" spans="1:9">
      <c r="A7" s="21">
        <v>3</v>
      </c>
      <c r="B7" s="21" t="s">
        <v>43</v>
      </c>
      <c r="C7" s="16" t="s">
        <v>156</v>
      </c>
      <c r="D7" s="16" t="s">
        <v>45</v>
      </c>
      <c r="E7" s="16" t="s">
        <v>201</v>
      </c>
      <c r="F7" s="16">
        <v>34</v>
      </c>
      <c r="G7" s="16">
        <v>1215</v>
      </c>
      <c r="H7" s="20">
        <f t="shared" si="0"/>
        <v>41310</v>
      </c>
      <c r="I7" s="20" t="s">
        <v>179</v>
      </c>
    </row>
    <row r="8" ht="63.9" customHeight="1" spans="1:9">
      <c r="A8" s="17"/>
      <c r="B8" s="17"/>
      <c r="C8" s="22" t="s">
        <v>180</v>
      </c>
      <c r="D8" s="16"/>
      <c r="E8" s="16" t="s">
        <v>181</v>
      </c>
      <c r="F8" s="19">
        <v>5</v>
      </c>
      <c r="G8" s="16">
        <v>6000</v>
      </c>
      <c r="H8" s="20">
        <f t="shared" si="0"/>
        <v>30000</v>
      </c>
      <c r="I8" s="20" t="s">
        <v>182</v>
      </c>
    </row>
    <row r="9" ht="51" spans="1:9">
      <c r="A9" s="16">
        <v>4</v>
      </c>
      <c r="B9" s="16" t="s">
        <v>57</v>
      </c>
      <c r="C9" s="22" t="s">
        <v>183</v>
      </c>
      <c r="D9" s="16" t="s">
        <v>59</v>
      </c>
      <c r="E9" s="16" t="s">
        <v>178</v>
      </c>
      <c r="F9" s="19">
        <v>1.358</v>
      </c>
      <c r="G9" s="16">
        <v>751.5</v>
      </c>
      <c r="H9" s="20">
        <f t="shared" si="0"/>
        <v>1021</v>
      </c>
      <c r="I9" s="20"/>
    </row>
    <row r="10" ht="24.9" customHeight="1" spans="1:9">
      <c r="A10" s="16">
        <v>5</v>
      </c>
      <c r="B10" s="16" t="s">
        <v>184</v>
      </c>
      <c r="C10" s="16"/>
      <c r="D10" s="16"/>
      <c r="E10" s="16"/>
      <c r="F10" s="16"/>
      <c r="G10" s="16"/>
      <c r="H10" s="20">
        <f>SUM(H5:H9)</f>
        <v>72886</v>
      </c>
      <c r="I10" s="20"/>
    </row>
    <row r="11" ht="24" customHeight="1" spans="1:8">
      <c r="A11" s="9" t="s">
        <v>185</v>
      </c>
      <c r="B11" s="9"/>
      <c r="C11" s="9"/>
      <c r="D11" s="9"/>
      <c r="E11" s="9"/>
      <c r="F11" s="9"/>
      <c r="G11" s="9"/>
      <c r="H11" s="9"/>
    </row>
  </sheetData>
  <mergeCells count="10">
    <mergeCell ref="A2:H2"/>
    <mergeCell ref="E3:I3"/>
    <mergeCell ref="B10:G10"/>
    <mergeCell ref="A11:H11"/>
    <mergeCell ref="A3:A4"/>
    <mergeCell ref="A7:A8"/>
    <mergeCell ref="B3:B4"/>
    <mergeCell ref="B7:B8"/>
    <mergeCell ref="C3:C4"/>
    <mergeCell ref="D3:D4"/>
  </mergeCells>
  <pageMargins left="0.7" right="0.7" top="0.75" bottom="0.75" header="0.3" footer="0.3"/>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view="pageBreakPreview" zoomScaleNormal="100" workbookViewId="0">
      <selection activeCell="C9" sqref="C9"/>
    </sheetView>
  </sheetViews>
  <sheetFormatPr defaultColWidth="9" defaultRowHeight="13.5"/>
  <cols>
    <col min="1" max="1" width="10" customWidth="1"/>
    <col min="2" max="2" width="11" customWidth="1"/>
    <col min="3" max="3" width="15.6666666666667" customWidth="1"/>
    <col min="4" max="4" width="13.3333333333333" style="1" customWidth="1"/>
    <col min="5" max="5" width="24.1083333333333" customWidth="1"/>
    <col min="6" max="6" width="9.40833333333333" customWidth="1"/>
    <col min="7" max="7" width="12.3333333333333" hidden="1" customWidth="1"/>
    <col min="8" max="8" width="11.4666666666667" customWidth="1"/>
    <col min="9" max="9" width="13.6666666666667" hidden="1" customWidth="1"/>
    <col min="10" max="10" width="24.2666666666667" customWidth="1"/>
    <col min="12" max="12" width="29" customWidth="1"/>
  </cols>
  <sheetData>
    <row r="1" spans="1:10">
      <c r="A1" s="2" t="s">
        <v>65</v>
      </c>
      <c r="B1" s="2"/>
      <c r="C1" s="2"/>
      <c r="D1" s="3"/>
      <c r="E1" s="2"/>
      <c r="F1" s="2"/>
      <c r="G1" s="2"/>
      <c r="H1" s="2"/>
      <c r="I1" s="2"/>
      <c r="J1" s="2"/>
    </row>
    <row r="2" ht="32.1" customHeight="1" spans="1:10">
      <c r="A2" s="4" t="s">
        <v>208</v>
      </c>
      <c r="B2" s="4"/>
      <c r="C2" s="4"/>
      <c r="D2" s="4"/>
      <c r="E2" s="4"/>
      <c r="F2" s="4"/>
      <c r="G2" s="4"/>
      <c r="H2" s="4"/>
      <c r="I2" s="4"/>
      <c r="J2" s="4"/>
    </row>
    <row r="3" ht="35.1" customHeight="1" spans="1:10">
      <c r="A3" s="5" t="s">
        <v>67</v>
      </c>
      <c r="B3" s="5" t="s">
        <v>68</v>
      </c>
      <c r="C3" s="5" t="s">
        <v>69</v>
      </c>
      <c r="D3" s="6" t="s">
        <v>187</v>
      </c>
      <c r="E3" s="5" t="s">
        <v>71</v>
      </c>
      <c r="F3" s="5" t="s">
        <v>33</v>
      </c>
      <c r="G3" s="5" t="s">
        <v>203</v>
      </c>
      <c r="H3" s="5" t="s">
        <v>34</v>
      </c>
      <c r="I3" s="5" t="s">
        <v>204</v>
      </c>
      <c r="J3" s="5" t="s">
        <v>5</v>
      </c>
    </row>
    <row r="4" ht="35.1" customHeight="1" spans="1:10">
      <c r="A4" s="5" t="s">
        <v>209</v>
      </c>
      <c r="B4" s="5" t="s">
        <v>39</v>
      </c>
      <c r="C4" s="7" t="s">
        <v>73</v>
      </c>
      <c r="D4" s="8">
        <v>0.35</v>
      </c>
      <c r="E4" s="7" t="s">
        <v>189</v>
      </c>
      <c r="F4" s="5">
        <f>1000*0.6</f>
        <v>600</v>
      </c>
      <c r="G4" s="7">
        <f t="shared" ref="G4:G10" si="0">ROUND(F4*0.6,0)</f>
        <v>360</v>
      </c>
      <c r="H4" s="7">
        <f t="shared" ref="H4:H10" si="1">ROUND(D4*F4,0)</f>
        <v>210</v>
      </c>
      <c r="I4" s="10">
        <f t="shared" ref="I4:I10" si="2">ROUND(D4*G4,0)</f>
        <v>126</v>
      </c>
      <c r="J4" s="7" t="s">
        <v>190</v>
      </c>
    </row>
    <row r="5" ht="35.1" customHeight="1" spans="1:10">
      <c r="A5" s="5"/>
      <c r="B5" s="5"/>
      <c r="C5" s="7" t="s">
        <v>76</v>
      </c>
      <c r="D5" s="8">
        <v>1.358</v>
      </c>
      <c r="E5" s="7" t="s">
        <v>191</v>
      </c>
      <c r="F5" s="5">
        <f>200*0.6</f>
        <v>120</v>
      </c>
      <c r="G5" s="7">
        <f t="shared" si="0"/>
        <v>72</v>
      </c>
      <c r="H5" s="7">
        <f t="shared" si="1"/>
        <v>163</v>
      </c>
      <c r="I5" s="10">
        <f t="shared" si="2"/>
        <v>98</v>
      </c>
      <c r="J5" s="7" t="s">
        <v>192</v>
      </c>
    </row>
    <row r="6" ht="35.1" customHeight="1" spans="1:10">
      <c r="A6" s="5"/>
      <c r="B6" s="5"/>
      <c r="C6" s="7" t="s">
        <v>79</v>
      </c>
      <c r="D6" s="8">
        <v>1.358</v>
      </c>
      <c r="E6" s="7" t="s">
        <v>193</v>
      </c>
      <c r="F6" s="5">
        <f>500*0.6</f>
        <v>300</v>
      </c>
      <c r="G6" s="7">
        <f t="shared" si="0"/>
        <v>180</v>
      </c>
      <c r="H6" s="7">
        <f t="shared" si="1"/>
        <v>407</v>
      </c>
      <c r="I6" s="10">
        <f t="shared" si="2"/>
        <v>244</v>
      </c>
      <c r="J6" s="7" t="s">
        <v>194</v>
      </c>
    </row>
    <row r="7" ht="35.1" customHeight="1" spans="1:10">
      <c r="A7" s="5"/>
      <c r="B7" s="5"/>
      <c r="C7" s="7" t="s">
        <v>81</v>
      </c>
      <c r="D7" s="8">
        <v>1.358</v>
      </c>
      <c r="E7" s="7" t="s">
        <v>193</v>
      </c>
      <c r="F7" s="5">
        <f>500*0.6</f>
        <v>300</v>
      </c>
      <c r="G7" s="7">
        <f t="shared" si="0"/>
        <v>180</v>
      </c>
      <c r="H7" s="7">
        <f t="shared" si="1"/>
        <v>407</v>
      </c>
      <c r="I7" s="10">
        <f t="shared" si="2"/>
        <v>244</v>
      </c>
      <c r="J7" s="7" t="s">
        <v>195</v>
      </c>
    </row>
    <row r="8" ht="35.1" customHeight="1" spans="1:10">
      <c r="A8" s="5"/>
      <c r="B8" s="5"/>
      <c r="C8" s="7" t="s">
        <v>83</v>
      </c>
      <c r="D8" s="8">
        <v>0</v>
      </c>
      <c r="E8" s="7" t="s">
        <v>196</v>
      </c>
      <c r="F8" s="5">
        <f>800*0.6</f>
        <v>480</v>
      </c>
      <c r="G8" s="7">
        <f t="shared" si="0"/>
        <v>288</v>
      </c>
      <c r="H8" s="7">
        <f t="shared" si="1"/>
        <v>0</v>
      </c>
      <c r="I8" s="10">
        <f t="shared" si="2"/>
        <v>0</v>
      </c>
      <c r="J8" s="7" t="s">
        <v>84</v>
      </c>
    </row>
    <row r="9" ht="35.1" customHeight="1" spans="1:10">
      <c r="A9" s="5"/>
      <c r="B9" s="5"/>
      <c r="C9" s="7" t="s">
        <v>85</v>
      </c>
      <c r="D9" s="8">
        <v>0</v>
      </c>
      <c r="E9" s="7" t="s">
        <v>196</v>
      </c>
      <c r="F9" s="5">
        <f>250*0.6</f>
        <v>150</v>
      </c>
      <c r="G9" s="7">
        <f t="shared" si="0"/>
        <v>90</v>
      </c>
      <c r="H9" s="7">
        <f t="shared" si="1"/>
        <v>0</v>
      </c>
      <c r="I9" s="10">
        <f t="shared" si="2"/>
        <v>0</v>
      </c>
      <c r="J9" s="7" t="s">
        <v>86</v>
      </c>
    </row>
    <row r="10" ht="35.1" customHeight="1" spans="1:10">
      <c r="A10" s="5"/>
      <c r="B10" s="5"/>
      <c r="C10" s="7" t="s">
        <v>87</v>
      </c>
      <c r="D10" s="8">
        <v>0.35</v>
      </c>
      <c r="E10" s="7" t="s">
        <v>197</v>
      </c>
      <c r="F10" s="5">
        <f>300*0.6</f>
        <v>180</v>
      </c>
      <c r="G10" s="7">
        <f t="shared" si="0"/>
        <v>108</v>
      </c>
      <c r="H10" s="7">
        <f t="shared" si="1"/>
        <v>63</v>
      </c>
      <c r="I10" s="10">
        <f t="shared" si="2"/>
        <v>38</v>
      </c>
      <c r="J10" s="7" t="s">
        <v>198</v>
      </c>
    </row>
    <row r="11" ht="35.1" customHeight="1" spans="1:10">
      <c r="A11" s="5" t="s">
        <v>89</v>
      </c>
      <c r="B11" s="5"/>
      <c r="C11" s="5"/>
      <c r="D11" s="5"/>
      <c r="E11" s="5"/>
      <c r="F11" s="5"/>
      <c r="G11" s="5"/>
      <c r="H11" s="5">
        <f>SUM(H4:H10)</f>
        <v>1250</v>
      </c>
      <c r="I11" s="11">
        <f>SUM(I4:I10)</f>
        <v>750</v>
      </c>
      <c r="J11" s="5"/>
    </row>
    <row r="12" ht="24.9" customHeight="1" spans="1:10">
      <c r="A12" s="9" t="s">
        <v>185</v>
      </c>
      <c r="B12" s="9"/>
      <c r="C12" s="9"/>
      <c r="D12" s="9"/>
      <c r="E12" s="9"/>
      <c r="F12" s="9"/>
      <c r="G12" s="9"/>
      <c r="H12" s="9"/>
      <c r="I12" s="9"/>
      <c r="J12" s="9"/>
    </row>
  </sheetData>
  <mergeCells count="5">
    <mergeCell ref="A2:J2"/>
    <mergeCell ref="A11:G11"/>
    <mergeCell ref="A12:J12"/>
    <mergeCell ref="A4:A10"/>
    <mergeCell ref="B4:B10"/>
  </mergeCells>
  <pageMargins left="0.7" right="0.7" top="0.75" bottom="0.75" header="0.3" footer="0.3"/>
  <pageSetup paperSize="9" fitToWidth="0"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view="pageBreakPreview" zoomScale="130" zoomScaleNormal="100" workbookViewId="0">
      <selection activeCell="C7" sqref="C7"/>
    </sheetView>
  </sheetViews>
  <sheetFormatPr defaultColWidth="9" defaultRowHeight="13.5" outlineLevelCol="4"/>
  <cols>
    <col min="1" max="1" width="6.88333333333333" customWidth="1"/>
    <col min="2" max="2" width="40.625" customWidth="1"/>
    <col min="3" max="4" width="16.625" customWidth="1"/>
    <col min="5" max="5" width="25.625" customWidth="1"/>
  </cols>
  <sheetData>
    <row r="1" ht="21.9" customHeight="1" spans="1:1">
      <c r="A1" s="23" t="s">
        <v>13</v>
      </c>
    </row>
    <row r="2" ht="33.9" customHeight="1" spans="1:5">
      <c r="A2" s="24" t="s">
        <v>14</v>
      </c>
      <c r="B2" s="24"/>
      <c r="C2" s="24"/>
      <c r="D2" s="24"/>
      <c r="E2" s="24"/>
    </row>
    <row r="3" ht="24.9" customHeight="1" spans="1:5">
      <c r="A3" s="25" t="s">
        <v>1</v>
      </c>
      <c r="B3" s="25" t="s">
        <v>2</v>
      </c>
      <c r="C3" s="25" t="s">
        <v>3</v>
      </c>
      <c r="D3" s="25" t="s">
        <v>4</v>
      </c>
      <c r="E3" s="25" t="s">
        <v>5</v>
      </c>
    </row>
    <row r="4" ht="24.9" customHeight="1" spans="1:5">
      <c r="A4" s="25"/>
      <c r="B4" s="25"/>
      <c r="C4" s="25"/>
      <c r="D4" s="25" t="s">
        <v>6</v>
      </c>
      <c r="E4" s="25"/>
    </row>
    <row r="5" ht="24.9" customHeight="1" spans="1:5">
      <c r="A5" s="25">
        <v>1</v>
      </c>
      <c r="B5" s="25" t="s">
        <v>15</v>
      </c>
      <c r="C5" s="25">
        <f>ROUND('外观（城开A1交工检测）'!H14,0)</f>
        <v>403324</v>
      </c>
      <c r="D5" s="25"/>
      <c r="E5" s="25"/>
    </row>
    <row r="6" ht="24.9" customHeight="1" spans="1:5">
      <c r="A6" s="25">
        <v>2</v>
      </c>
      <c r="B6" s="26" t="s">
        <v>16</v>
      </c>
      <c r="C6" s="26">
        <f>ROUND('路面（城开A1交工检测）'!G13,0)</f>
        <v>115102</v>
      </c>
      <c r="D6" s="25"/>
      <c r="E6" s="27"/>
    </row>
    <row r="7" ht="24.9" customHeight="1" spans="1:5">
      <c r="A7" s="25">
        <v>3</v>
      </c>
      <c r="B7" s="25" t="s">
        <v>17</v>
      </c>
      <c r="C7" s="25">
        <f>'荷载试验（城开A1交工检测）'!J28</f>
        <v>855399</v>
      </c>
      <c r="D7" s="25"/>
      <c r="E7" s="25"/>
    </row>
    <row r="8" ht="24.9" customHeight="1" spans="1:5">
      <c r="A8" s="25">
        <v>4</v>
      </c>
      <c r="B8" s="25" t="s">
        <v>18</v>
      </c>
      <c r="C8" s="25">
        <f>'隧道雷达（城开A1交工检测）'!F9</f>
        <v>945855</v>
      </c>
      <c r="D8" s="25"/>
      <c r="E8" s="25"/>
    </row>
    <row r="9" ht="24.9" customHeight="1" spans="1:5">
      <c r="A9" s="25">
        <v>5</v>
      </c>
      <c r="B9" s="25" t="s">
        <v>19</v>
      </c>
      <c r="C9" s="25">
        <f>SUM(C5:C8)</f>
        <v>2319680</v>
      </c>
      <c r="D9" s="25"/>
      <c r="E9" s="25"/>
    </row>
    <row r="10" ht="24.9" customHeight="1" spans="1:5">
      <c r="A10" s="25">
        <v>6</v>
      </c>
      <c r="B10" s="25" t="s">
        <v>20</v>
      </c>
      <c r="C10" s="28">
        <f>ROUND(C9*1.5%,0)</f>
        <v>34795</v>
      </c>
      <c r="D10" s="25"/>
      <c r="E10" s="25"/>
    </row>
    <row r="11" ht="39.6" customHeight="1" spans="1:5">
      <c r="A11" s="25">
        <v>7</v>
      </c>
      <c r="B11" s="25" t="s">
        <v>21</v>
      </c>
      <c r="C11" s="25">
        <v>80000</v>
      </c>
      <c r="D11" s="25"/>
      <c r="E11" s="27" t="s">
        <v>22</v>
      </c>
    </row>
    <row r="12" ht="24.9" customHeight="1" spans="1:5">
      <c r="A12" s="25">
        <v>8</v>
      </c>
      <c r="B12" s="25" t="s">
        <v>23</v>
      </c>
      <c r="C12" s="25">
        <v>100000</v>
      </c>
      <c r="D12" s="25"/>
      <c r="E12" s="25"/>
    </row>
    <row r="13" ht="24.9" customHeight="1" spans="1:5">
      <c r="A13" s="25" t="s">
        <v>24</v>
      </c>
      <c r="B13" s="25"/>
      <c r="C13" s="28">
        <f>SUM(C9:C12)</f>
        <v>2534475</v>
      </c>
      <c r="D13" s="25"/>
      <c r="E13" s="25"/>
    </row>
    <row r="14" ht="24.9" customHeight="1" spans="1:5">
      <c r="A14" s="29" t="s">
        <v>12</v>
      </c>
      <c r="B14" s="30"/>
      <c r="C14" s="30"/>
      <c r="D14" s="30"/>
      <c r="E14" s="31"/>
    </row>
  </sheetData>
  <mergeCells count="7">
    <mergeCell ref="A2:E2"/>
    <mergeCell ref="A13:B13"/>
    <mergeCell ref="A14:E14"/>
    <mergeCell ref="A3:A4"/>
    <mergeCell ref="B3:B4"/>
    <mergeCell ref="C3:C4"/>
    <mergeCell ref="E3:E4"/>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view="pageBreakPreview" zoomScaleNormal="100" workbookViewId="0">
      <selection activeCell="C9" sqref="C9"/>
    </sheetView>
  </sheetViews>
  <sheetFormatPr defaultColWidth="9" defaultRowHeight="13.5" outlineLevelCol="7"/>
  <cols>
    <col min="1" max="1" width="6.775" customWidth="1"/>
    <col min="2" max="2" width="13" customWidth="1"/>
    <col min="3" max="3" width="20.6666666666667" customWidth="1"/>
    <col min="4" max="4" width="35.3333333333333" customWidth="1"/>
    <col min="5" max="5" width="10.775" customWidth="1"/>
    <col min="6" max="6" width="9.13333333333333" customWidth="1"/>
    <col min="7" max="7" width="9" customWidth="1"/>
    <col min="8" max="8" width="11.3333333333333" customWidth="1"/>
  </cols>
  <sheetData>
    <row r="1" ht="14.25" spans="1:8">
      <c r="A1" s="73" t="s">
        <v>25</v>
      </c>
      <c r="B1" s="74"/>
      <c r="C1" s="74"/>
      <c r="D1" s="74"/>
      <c r="E1" s="74"/>
      <c r="F1" s="74"/>
      <c r="G1" s="74"/>
      <c r="H1" s="74"/>
    </row>
    <row r="2" ht="27.9" customHeight="1" spans="1:8">
      <c r="A2" s="33" t="s">
        <v>26</v>
      </c>
      <c r="B2" s="33"/>
      <c r="C2" s="33"/>
      <c r="D2" s="33"/>
      <c r="E2" s="33"/>
      <c r="F2" s="33"/>
      <c r="G2" s="33"/>
      <c r="H2" s="33"/>
    </row>
    <row r="3" ht="21.9" customHeight="1" spans="1:8">
      <c r="A3" s="27" t="s">
        <v>1</v>
      </c>
      <c r="B3" s="27" t="s">
        <v>27</v>
      </c>
      <c r="C3" s="27" t="s">
        <v>28</v>
      </c>
      <c r="D3" s="27" t="s">
        <v>29</v>
      </c>
      <c r="E3" s="27" t="s">
        <v>30</v>
      </c>
      <c r="F3" s="27"/>
      <c r="G3" s="27"/>
      <c r="H3" s="27"/>
    </row>
    <row r="4" ht="26" customHeight="1" spans="1:8">
      <c r="A4" s="27"/>
      <c r="B4" s="27"/>
      <c r="C4" s="27"/>
      <c r="D4" s="27"/>
      <c r="E4" s="27" t="s">
        <v>31</v>
      </c>
      <c r="F4" s="27" t="s">
        <v>32</v>
      </c>
      <c r="G4" s="27" t="s">
        <v>33</v>
      </c>
      <c r="H4" s="27" t="s">
        <v>34</v>
      </c>
    </row>
    <row r="5" ht="51" spans="1:8">
      <c r="A5" s="27">
        <v>1</v>
      </c>
      <c r="B5" s="27" t="s">
        <v>35</v>
      </c>
      <c r="C5" s="75" t="s">
        <v>36</v>
      </c>
      <c r="D5" s="27" t="s">
        <v>37</v>
      </c>
      <c r="E5" s="27" t="s">
        <v>38</v>
      </c>
      <c r="F5" s="76">
        <f>[1]计算依据!I9/1000</f>
        <v>7.813898</v>
      </c>
      <c r="G5" s="27">
        <v>816</v>
      </c>
      <c r="H5" s="77">
        <f t="shared" ref="H5:H11" si="0">ROUND(F5*G5,0)</f>
        <v>6376</v>
      </c>
    </row>
    <row r="6" ht="25.5" spans="1:8">
      <c r="A6" s="27">
        <v>2</v>
      </c>
      <c r="B6" s="27" t="s">
        <v>39</v>
      </c>
      <c r="C6" s="27" t="s">
        <v>40</v>
      </c>
      <c r="D6" s="27" t="s">
        <v>41</v>
      </c>
      <c r="E6" s="27" t="s">
        <v>42</v>
      </c>
      <c r="F6" s="76"/>
      <c r="G6" s="27">
        <v>198</v>
      </c>
      <c r="H6" s="77">
        <f t="shared" si="0"/>
        <v>0</v>
      </c>
    </row>
    <row r="7" ht="38.25" spans="1:8">
      <c r="A7" s="27">
        <v>3</v>
      </c>
      <c r="B7" s="27" t="s">
        <v>43</v>
      </c>
      <c r="C7" s="27" t="s">
        <v>44</v>
      </c>
      <c r="D7" s="27" t="s">
        <v>45</v>
      </c>
      <c r="E7" s="27" t="s">
        <v>46</v>
      </c>
      <c r="F7" s="34">
        <f>[1]计算依据!I10</f>
        <v>159</v>
      </c>
      <c r="G7" s="27">
        <v>1215</v>
      </c>
      <c r="H7" s="77">
        <f t="shared" si="0"/>
        <v>193185</v>
      </c>
    </row>
    <row r="8" ht="25.5" spans="1:8">
      <c r="A8" s="27"/>
      <c r="B8" s="27"/>
      <c r="C8" s="27" t="s">
        <v>47</v>
      </c>
      <c r="D8" s="27" t="s">
        <v>48</v>
      </c>
      <c r="E8" s="27" t="s">
        <v>49</v>
      </c>
      <c r="F8" s="34">
        <v>0</v>
      </c>
      <c r="G8" s="27">
        <v>84</v>
      </c>
      <c r="H8" s="77">
        <f t="shared" si="0"/>
        <v>0</v>
      </c>
    </row>
    <row r="9" ht="25.5" spans="1:8">
      <c r="A9" s="27"/>
      <c r="B9" s="27"/>
      <c r="C9" s="27" t="s">
        <v>50</v>
      </c>
      <c r="D9" s="27" t="s">
        <v>51</v>
      </c>
      <c r="E9" s="27" t="s">
        <v>52</v>
      </c>
      <c r="F9" s="34">
        <f>[1]计算依据!I12</f>
        <v>352</v>
      </c>
      <c r="G9" s="27">
        <v>324</v>
      </c>
      <c r="H9" s="77">
        <f t="shared" si="0"/>
        <v>114048</v>
      </c>
    </row>
    <row r="10" ht="25.5" spans="1:8">
      <c r="A10" s="27">
        <v>4</v>
      </c>
      <c r="B10" s="27" t="s">
        <v>53</v>
      </c>
      <c r="C10" s="27" t="s">
        <v>54</v>
      </c>
      <c r="D10" s="27" t="s">
        <v>55</v>
      </c>
      <c r="E10" s="27" t="s">
        <v>56</v>
      </c>
      <c r="F10" s="34">
        <f>[1]计算依据!I13/1000</f>
        <v>27.798</v>
      </c>
      <c r="G10" s="78">
        <v>1326</v>
      </c>
      <c r="H10" s="77">
        <f t="shared" si="0"/>
        <v>36860</v>
      </c>
    </row>
    <row r="11" ht="51" spans="1:8">
      <c r="A11" s="27">
        <v>5</v>
      </c>
      <c r="B11" s="27" t="s">
        <v>57</v>
      </c>
      <c r="C11" s="78" t="s">
        <v>58</v>
      </c>
      <c r="D11" s="27" t="s">
        <v>59</v>
      </c>
      <c r="E11" s="27" t="s">
        <v>60</v>
      </c>
      <c r="F11" s="76">
        <v>39.954</v>
      </c>
      <c r="G11" s="27">
        <v>751.5</v>
      </c>
      <c r="H11" s="77">
        <f t="shared" si="0"/>
        <v>30025</v>
      </c>
    </row>
    <row r="12" ht="24.9" customHeight="1" spans="1:8">
      <c r="A12" s="27">
        <v>5</v>
      </c>
      <c r="B12" s="27" t="s">
        <v>61</v>
      </c>
      <c r="C12" s="27"/>
      <c r="D12" s="27"/>
      <c r="E12" s="27"/>
      <c r="F12" s="27"/>
      <c r="G12" s="27"/>
      <c r="H12" s="77">
        <f>SUM(H5:H11)</f>
        <v>380494</v>
      </c>
    </row>
    <row r="13" ht="24.9" customHeight="1" spans="1:8">
      <c r="A13" s="27">
        <v>6</v>
      </c>
      <c r="B13" s="27" t="s">
        <v>62</v>
      </c>
      <c r="C13" s="27"/>
      <c r="D13" s="27"/>
      <c r="E13" s="27"/>
      <c r="F13" s="27"/>
      <c r="G13" s="27"/>
      <c r="H13" s="77">
        <f>ROUND(H12*6%,0)</f>
        <v>22830</v>
      </c>
    </row>
    <row r="14" ht="24.9" customHeight="1" spans="1:8">
      <c r="A14" s="27">
        <v>7</v>
      </c>
      <c r="B14" s="27" t="s">
        <v>63</v>
      </c>
      <c r="C14" s="27"/>
      <c r="D14" s="27"/>
      <c r="E14" s="27"/>
      <c r="F14" s="27"/>
      <c r="G14" s="27"/>
      <c r="H14" s="77">
        <f>H12+H13</f>
        <v>403324</v>
      </c>
    </row>
    <row r="15" ht="24" customHeight="1" spans="1:8">
      <c r="A15" s="79" t="s">
        <v>64</v>
      </c>
      <c r="B15" s="79"/>
      <c r="C15" s="79"/>
      <c r="D15" s="79"/>
      <c r="E15" s="79"/>
      <c r="F15" s="79"/>
      <c r="G15" s="79"/>
      <c r="H15" s="79"/>
    </row>
  </sheetData>
  <mergeCells count="12">
    <mergeCell ref="A2:H2"/>
    <mergeCell ref="E3:H3"/>
    <mergeCell ref="B12:G12"/>
    <mergeCell ref="B13:G13"/>
    <mergeCell ref="B14:G14"/>
    <mergeCell ref="A15:H15"/>
    <mergeCell ref="A3:A4"/>
    <mergeCell ref="A7:A9"/>
    <mergeCell ref="B3:B4"/>
    <mergeCell ref="B7:B9"/>
    <mergeCell ref="C3:C4"/>
    <mergeCell ref="D3:D4"/>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view="pageBreakPreview" zoomScaleNormal="100" workbookViewId="0">
      <selection activeCell="C9" sqref="C9"/>
    </sheetView>
  </sheetViews>
  <sheetFormatPr defaultColWidth="9" defaultRowHeight="13.5" outlineLevelCol="7"/>
  <cols>
    <col min="1" max="1" width="10" customWidth="1"/>
    <col min="2" max="2" width="11" customWidth="1"/>
    <col min="3" max="3" width="15.6666666666667" customWidth="1"/>
    <col min="4" max="4" width="13.3333333333333" style="1" customWidth="1"/>
    <col min="5" max="5" width="24.1083333333333" customWidth="1"/>
    <col min="6" max="6" width="9.40833333333333" customWidth="1"/>
    <col min="7" max="7" width="11.4666666666667" customWidth="1"/>
    <col min="8" max="8" width="24.2666666666667" customWidth="1"/>
    <col min="10" max="10" width="29" customWidth="1"/>
  </cols>
  <sheetData>
    <row r="1" spans="1:8">
      <c r="A1" s="2" t="s">
        <v>65</v>
      </c>
      <c r="B1" s="2"/>
      <c r="C1" s="2"/>
      <c r="D1" s="3"/>
      <c r="E1" s="2"/>
      <c r="F1" s="2"/>
      <c r="G1" s="2"/>
      <c r="H1" s="2"/>
    </row>
    <row r="2" ht="32.1" customHeight="1" spans="1:8">
      <c r="A2" s="4" t="s">
        <v>66</v>
      </c>
      <c r="B2" s="4"/>
      <c r="C2" s="4"/>
      <c r="D2" s="4"/>
      <c r="E2" s="4"/>
      <c r="F2" s="4"/>
      <c r="G2" s="4"/>
      <c r="H2" s="4"/>
    </row>
    <row r="3" ht="35.1" customHeight="1" spans="1:8">
      <c r="A3" s="5" t="s">
        <v>67</v>
      </c>
      <c r="B3" s="5" t="s">
        <v>68</v>
      </c>
      <c r="C3" s="5" t="s">
        <v>69</v>
      </c>
      <c r="D3" s="6" t="s">
        <v>70</v>
      </c>
      <c r="E3" s="5" t="s">
        <v>71</v>
      </c>
      <c r="F3" s="5" t="s">
        <v>33</v>
      </c>
      <c r="G3" s="5" t="s">
        <v>34</v>
      </c>
      <c r="H3" s="5" t="s">
        <v>5</v>
      </c>
    </row>
    <row r="4" ht="35.1" customHeight="1" spans="1:8">
      <c r="A4" s="5" t="s">
        <v>72</v>
      </c>
      <c r="B4" s="5" t="s">
        <v>39</v>
      </c>
      <c r="C4" s="5" t="s">
        <v>73</v>
      </c>
      <c r="D4" s="71">
        <v>4.776</v>
      </c>
      <c r="E4" s="5" t="s">
        <v>74</v>
      </c>
      <c r="F4" s="5">
        <v>600</v>
      </c>
      <c r="G4" s="5">
        <f t="shared" ref="G4:G10" si="0">ROUND(D4*F4,0)</f>
        <v>2866</v>
      </c>
      <c r="H4" s="5" t="s">
        <v>75</v>
      </c>
    </row>
    <row r="5" ht="35.1" customHeight="1" spans="1:8">
      <c r="A5" s="5"/>
      <c r="B5" s="5"/>
      <c r="C5" s="5" t="s">
        <v>76</v>
      </c>
      <c r="D5" s="71">
        <v>72.66</v>
      </c>
      <c r="E5" s="5" t="s">
        <v>77</v>
      </c>
      <c r="F5" s="5">
        <v>120</v>
      </c>
      <c r="G5" s="5">
        <f t="shared" si="0"/>
        <v>8719</v>
      </c>
      <c r="H5" s="5" t="s">
        <v>78</v>
      </c>
    </row>
    <row r="6" ht="35.1" customHeight="1" spans="1:8">
      <c r="A6" s="5"/>
      <c r="B6" s="5"/>
      <c r="C6" s="5" t="s">
        <v>79</v>
      </c>
      <c r="D6" s="71">
        <v>72.66</v>
      </c>
      <c r="E6" s="5" t="s">
        <v>77</v>
      </c>
      <c r="F6" s="5">
        <v>300</v>
      </c>
      <c r="G6" s="5">
        <f t="shared" si="0"/>
        <v>21798</v>
      </c>
      <c r="H6" s="5" t="s">
        <v>80</v>
      </c>
    </row>
    <row r="7" ht="35.1" customHeight="1" spans="1:8">
      <c r="A7" s="5"/>
      <c r="B7" s="5"/>
      <c r="C7" s="5" t="s">
        <v>81</v>
      </c>
      <c r="D7" s="71">
        <v>72.66</v>
      </c>
      <c r="E7" s="5" t="s">
        <v>77</v>
      </c>
      <c r="F7" s="5">
        <v>300</v>
      </c>
      <c r="G7" s="5">
        <f t="shared" si="0"/>
        <v>21798</v>
      </c>
      <c r="H7" s="5" t="s">
        <v>82</v>
      </c>
    </row>
    <row r="8" ht="35.1" customHeight="1" spans="1:8">
      <c r="A8" s="5"/>
      <c r="B8" s="5"/>
      <c r="C8" s="5" t="s">
        <v>83</v>
      </c>
      <c r="D8" s="71">
        <v>72.66</v>
      </c>
      <c r="E8" s="5" t="s">
        <v>77</v>
      </c>
      <c r="F8" s="5">
        <v>480</v>
      </c>
      <c r="G8" s="5">
        <f t="shared" si="0"/>
        <v>34877</v>
      </c>
      <c r="H8" s="5" t="s">
        <v>84</v>
      </c>
    </row>
    <row r="9" ht="35.1" customHeight="1" spans="1:8">
      <c r="A9" s="5"/>
      <c r="B9" s="5"/>
      <c r="C9" s="5" t="s">
        <v>85</v>
      </c>
      <c r="D9" s="71">
        <v>36.33</v>
      </c>
      <c r="E9" s="5" t="s">
        <v>77</v>
      </c>
      <c r="F9" s="5">
        <v>150</v>
      </c>
      <c r="G9" s="5">
        <f t="shared" si="0"/>
        <v>5450</v>
      </c>
      <c r="H9" s="5" t="s">
        <v>86</v>
      </c>
    </row>
    <row r="10" ht="35.1" customHeight="1" spans="1:8">
      <c r="A10" s="5"/>
      <c r="B10" s="5"/>
      <c r="C10" s="5" t="s">
        <v>87</v>
      </c>
      <c r="D10" s="71">
        <v>72.66</v>
      </c>
      <c r="E10" s="5" t="s">
        <v>77</v>
      </c>
      <c r="F10" s="5">
        <v>180</v>
      </c>
      <c r="G10" s="5">
        <f t="shared" si="0"/>
        <v>13079</v>
      </c>
      <c r="H10" s="5" t="s">
        <v>88</v>
      </c>
    </row>
    <row r="11" ht="35.1" customHeight="1" spans="1:8">
      <c r="A11" s="5" t="s">
        <v>89</v>
      </c>
      <c r="B11" s="5"/>
      <c r="C11" s="5"/>
      <c r="D11" s="5"/>
      <c r="E11" s="5"/>
      <c r="F11" s="5"/>
      <c r="G11" s="5">
        <f>SUM(G4:G10)</f>
        <v>108587</v>
      </c>
      <c r="H11" s="5"/>
    </row>
    <row r="12" ht="35.1" customHeight="1" spans="1:8">
      <c r="A12" s="5" t="s">
        <v>90</v>
      </c>
      <c r="B12" s="5"/>
      <c r="C12" s="5"/>
      <c r="D12" s="5"/>
      <c r="E12" s="5"/>
      <c r="F12" s="5"/>
      <c r="G12" s="5">
        <f>ROUND(G11*6%,0)</f>
        <v>6515</v>
      </c>
      <c r="H12" s="5"/>
    </row>
    <row r="13" ht="35.1" customHeight="1" spans="1:8">
      <c r="A13" s="5" t="s">
        <v>91</v>
      </c>
      <c r="B13" s="5"/>
      <c r="C13" s="5"/>
      <c r="D13" s="5"/>
      <c r="E13" s="5"/>
      <c r="F13" s="5"/>
      <c r="G13" s="5">
        <f>G11+G12</f>
        <v>115102</v>
      </c>
      <c r="H13" s="5"/>
    </row>
    <row r="14" ht="24.9" customHeight="1" spans="1:8">
      <c r="A14" s="72" t="s">
        <v>92</v>
      </c>
      <c r="B14" s="72"/>
      <c r="C14" s="72"/>
      <c r="D14" s="72"/>
      <c r="E14" s="72"/>
      <c r="F14" s="72"/>
      <c r="G14" s="72"/>
      <c r="H14" s="72"/>
    </row>
  </sheetData>
  <mergeCells count="7">
    <mergeCell ref="A2:H2"/>
    <mergeCell ref="A11:F11"/>
    <mergeCell ref="A12:F12"/>
    <mergeCell ref="A13:F13"/>
    <mergeCell ref="A14:H14"/>
    <mergeCell ref="A4:A10"/>
    <mergeCell ref="B4:B10"/>
  </mergeCells>
  <pageMargins left="0.7" right="0.7" top="0.75" bottom="0.75" header="0.3" footer="0.3"/>
  <pageSetup paperSize="9" scale="90" fitToWidth="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view="pageBreakPreview" zoomScaleNormal="100" workbookViewId="0">
      <pane xSplit="1" ySplit="4" topLeftCell="B5" activePane="bottomRight" state="frozen"/>
      <selection/>
      <selection pane="topRight"/>
      <selection pane="bottomLeft"/>
      <selection pane="bottomRight" activeCell="J40" sqref="J40"/>
    </sheetView>
  </sheetViews>
  <sheetFormatPr defaultColWidth="9" defaultRowHeight="12"/>
  <cols>
    <col min="1" max="1" width="9.44166666666667" style="36" customWidth="1"/>
    <col min="2" max="2" width="6.21666666666667" style="36" customWidth="1"/>
    <col min="3" max="3" width="16.1333333333333" style="36" customWidth="1"/>
    <col min="4" max="4" width="13.3333333333333" style="36" customWidth="1"/>
    <col min="5" max="5" width="19.75" style="36" customWidth="1"/>
    <col min="6" max="6" width="23" style="36" customWidth="1"/>
    <col min="7" max="7" width="7.13333333333333" style="36" customWidth="1"/>
    <col min="8" max="8" width="6.5" style="36" customWidth="1"/>
    <col min="9" max="10" width="8.33333333333333" style="36" customWidth="1"/>
    <col min="11" max="11" width="17.3333333333333" style="36" customWidth="1"/>
    <col min="12" max="16384" width="9" style="36"/>
  </cols>
  <sheetData>
    <row r="1" spans="1:1">
      <c r="A1" s="36" t="s">
        <v>93</v>
      </c>
    </row>
    <row r="2" ht="24" customHeight="1" spans="1:10">
      <c r="A2" s="37" t="s">
        <v>94</v>
      </c>
      <c r="B2" s="37"/>
      <c r="C2" s="37"/>
      <c r="D2" s="37"/>
      <c r="E2" s="37"/>
      <c r="F2" s="37"/>
      <c r="G2" s="37"/>
      <c r="H2" s="37"/>
      <c r="I2" s="37"/>
      <c r="J2" s="37"/>
    </row>
    <row r="3" spans="1:11">
      <c r="A3" s="38" t="s">
        <v>95</v>
      </c>
      <c r="B3" s="39" t="s">
        <v>1</v>
      </c>
      <c r="C3" s="39" t="s">
        <v>96</v>
      </c>
      <c r="D3" s="39" t="s">
        <v>97</v>
      </c>
      <c r="E3" s="39" t="s">
        <v>98</v>
      </c>
      <c r="F3" s="39" t="s">
        <v>99</v>
      </c>
      <c r="G3" s="39" t="s">
        <v>100</v>
      </c>
      <c r="H3" s="39" t="s">
        <v>100</v>
      </c>
      <c r="I3" s="39" t="s">
        <v>101</v>
      </c>
      <c r="J3" s="39"/>
      <c r="K3" s="60" t="s">
        <v>5</v>
      </c>
    </row>
    <row r="4" ht="24" spans="1:11">
      <c r="A4" s="40"/>
      <c r="B4" s="41"/>
      <c r="C4" s="41"/>
      <c r="D4" s="41"/>
      <c r="E4" s="41"/>
      <c r="F4" s="41"/>
      <c r="G4" s="41" t="s">
        <v>102</v>
      </c>
      <c r="H4" s="41" t="s">
        <v>103</v>
      </c>
      <c r="I4" s="41" t="s">
        <v>104</v>
      </c>
      <c r="J4" s="41" t="s">
        <v>105</v>
      </c>
      <c r="K4" s="61"/>
    </row>
    <row r="5" spans="1:11">
      <c r="A5" s="42" t="s">
        <v>106</v>
      </c>
      <c r="B5" s="43">
        <v>1</v>
      </c>
      <c r="C5" s="43" t="s">
        <v>107</v>
      </c>
      <c r="D5" s="43" t="s">
        <v>108</v>
      </c>
      <c r="E5" s="44" t="s">
        <v>109</v>
      </c>
      <c r="F5" s="41" t="s">
        <v>110</v>
      </c>
      <c r="G5" s="45"/>
      <c r="H5" s="43"/>
      <c r="I5" s="43"/>
      <c r="J5" s="43">
        <f t="shared" ref="J5:J15" si="0">ROUND(I5*H5,0)</f>
        <v>0</v>
      </c>
      <c r="K5" s="62" t="s">
        <v>111</v>
      </c>
    </row>
    <row r="6" ht="24" spans="1:11">
      <c r="A6" s="42"/>
      <c r="B6" s="43"/>
      <c r="C6" s="43" t="s">
        <v>112</v>
      </c>
      <c r="D6" s="43" t="s">
        <v>113</v>
      </c>
      <c r="E6" s="44" t="s">
        <v>114</v>
      </c>
      <c r="F6" s="41" t="s">
        <v>115</v>
      </c>
      <c r="G6" s="45">
        <v>2</v>
      </c>
      <c r="H6" s="43">
        <v>3</v>
      </c>
      <c r="I6" s="63">
        <f>ROUND(42833*0.6,0)</f>
        <v>25700</v>
      </c>
      <c r="J6" s="43">
        <f t="shared" si="0"/>
        <v>77100</v>
      </c>
      <c r="K6" s="62"/>
    </row>
    <row r="7" ht="24" spans="1:11">
      <c r="A7" s="42"/>
      <c r="B7" s="43">
        <v>2</v>
      </c>
      <c r="C7" s="43" t="s">
        <v>116</v>
      </c>
      <c r="D7" s="43" t="s">
        <v>117</v>
      </c>
      <c r="E7" s="44" t="s">
        <v>114</v>
      </c>
      <c r="F7" s="41" t="s">
        <v>118</v>
      </c>
      <c r="G7" s="45">
        <v>2</v>
      </c>
      <c r="H7" s="43">
        <v>3</v>
      </c>
      <c r="I7" s="63">
        <f>ROUND(42833*0.6,0)</f>
        <v>25700</v>
      </c>
      <c r="J7" s="43">
        <f t="shared" si="0"/>
        <v>77100</v>
      </c>
      <c r="K7" s="62"/>
    </row>
    <row r="8" ht="24" spans="1:11">
      <c r="A8" s="42"/>
      <c r="B8" s="43"/>
      <c r="C8" s="43" t="s">
        <v>119</v>
      </c>
      <c r="D8" s="43" t="s">
        <v>120</v>
      </c>
      <c r="E8" s="44" t="s">
        <v>114</v>
      </c>
      <c r="F8" s="41" t="s">
        <v>121</v>
      </c>
      <c r="G8" s="45"/>
      <c r="H8" s="43"/>
      <c r="I8" s="43"/>
      <c r="J8" s="43">
        <f t="shared" si="0"/>
        <v>0</v>
      </c>
      <c r="K8" s="62"/>
    </row>
    <row r="9" ht="24" spans="1:11">
      <c r="A9" s="42"/>
      <c r="B9" s="43">
        <v>3</v>
      </c>
      <c r="C9" s="43" t="s">
        <v>122</v>
      </c>
      <c r="D9" s="43" t="s">
        <v>123</v>
      </c>
      <c r="E9" s="44" t="s">
        <v>114</v>
      </c>
      <c r="F9" s="41" t="s">
        <v>121</v>
      </c>
      <c r="G9" s="45">
        <v>2</v>
      </c>
      <c r="H9" s="43">
        <v>3</v>
      </c>
      <c r="I9" s="63">
        <v>23130</v>
      </c>
      <c r="J9" s="43">
        <f t="shared" si="0"/>
        <v>69390</v>
      </c>
      <c r="K9" s="62"/>
    </row>
    <row r="10" spans="1:11">
      <c r="A10" s="42"/>
      <c r="B10" s="43">
        <v>4</v>
      </c>
      <c r="C10" s="43" t="s">
        <v>124</v>
      </c>
      <c r="D10" s="43"/>
      <c r="E10" s="41"/>
      <c r="F10" s="41"/>
      <c r="G10" s="45">
        <v>2</v>
      </c>
      <c r="H10" s="43">
        <v>3</v>
      </c>
      <c r="I10" s="63">
        <v>23130</v>
      </c>
      <c r="J10" s="43">
        <f t="shared" si="0"/>
        <v>69390</v>
      </c>
      <c r="K10" s="62"/>
    </row>
    <row r="11" spans="1:11">
      <c r="A11" s="40" t="s">
        <v>125</v>
      </c>
      <c r="B11" s="43">
        <v>1</v>
      </c>
      <c r="C11" s="43" t="s">
        <v>126</v>
      </c>
      <c r="D11" s="43" t="s">
        <v>127</v>
      </c>
      <c r="E11" s="41" t="s">
        <v>128</v>
      </c>
      <c r="F11" s="41" t="s">
        <v>129</v>
      </c>
      <c r="G11" s="45"/>
      <c r="H11" s="43"/>
      <c r="I11" s="43"/>
      <c r="J11" s="43">
        <f t="shared" si="0"/>
        <v>0</v>
      </c>
      <c r="K11" s="62"/>
    </row>
    <row r="12" spans="1:11">
      <c r="A12" s="40"/>
      <c r="B12" s="43"/>
      <c r="C12" s="43" t="s">
        <v>130</v>
      </c>
      <c r="D12" s="43" t="s">
        <v>131</v>
      </c>
      <c r="E12" s="41"/>
      <c r="F12" s="41" t="s">
        <v>132</v>
      </c>
      <c r="G12" s="45">
        <v>2</v>
      </c>
      <c r="H12" s="43">
        <v>3</v>
      </c>
      <c r="I12" s="63">
        <v>25700</v>
      </c>
      <c r="J12" s="43">
        <f t="shared" si="0"/>
        <v>77100</v>
      </c>
      <c r="K12" s="62"/>
    </row>
    <row r="13" ht="24" spans="1:11">
      <c r="A13" s="40"/>
      <c r="B13" s="43">
        <v>2</v>
      </c>
      <c r="C13" s="43" t="s">
        <v>133</v>
      </c>
      <c r="D13" s="43" t="s">
        <v>134</v>
      </c>
      <c r="E13" s="41" t="s">
        <v>128</v>
      </c>
      <c r="F13" s="41" t="s">
        <v>135</v>
      </c>
      <c r="G13" s="45">
        <v>2</v>
      </c>
      <c r="H13" s="43">
        <v>3</v>
      </c>
      <c r="I13" s="63">
        <v>25700</v>
      </c>
      <c r="J13" s="43">
        <f t="shared" si="0"/>
        <v>77100</v>
      </c>
      <c r="K13" s="62"/>
    </row>
    <row r="14" spans="1:11">
      <c r="A14" s="40"/>
      <c r="B14" s="43"/>
      <c r="C14" s="43" t="s">
        <v>136</v>
      </c>
      <c r="D14" s="43" t="s">
        <v>137</v>
      </c>
      <c r="E14" s="41"/>
      <c r="F14" s="41" t="s">
        <v>138</v>
      </c>
      <c r="G14" s="45"/>
      <c r="H14" s="43"/>
      <c r="I14" s="43"/>
      <c r="J14" s="43">
        <f t="shared" si="0"/>
        <v>0</v>
      </c>
      <c r="K14" s="62"/>
    </row>
    <row r="15" spans="1:11">
      <c r="A15" s="40"/>
      <c r="B15" s="43"/>
      <c r="C15" s="43" t="s">
        <v>139</v>
      </c>
      <c r="D15" s="43" t="s">
        <v>140</v>
      </c>
      <c r="E15" s="41"/>
      <c r="F15" s="41" t="s">
        <v>141</v>
      </c>
      <c r="G15" s="45">
        <v>2</v>
      </c>
      <c r="H15" s="43">
        <v>3</v>
      </c>
      <c r="I15" s="63">
        <v>25700</v>
      </c>
      <c r="J15" s="43">
        <f t="shared" si="0"/>
        <v>77100</v>
      </c>
      <c r="K15" s="62"/>
    </row>
    <row r="16" ht="12.75" spans="1:11">
      <c r="A16" s="46"/>
      <c r="B16" s="47"/>
      <c r="C16" s="47"/>
      <c r="D16" s="47"/>
      <c r="E16" s="48"/>
      <c r="F16" s="48"/>
      <c r="G16" s="47"/>
      <c r="H16" s="48"/>
      <c r="I16" s="48"/>
      <c r="J16" s="48"/>
      <c r="K16" s="64"/>
    </row>
    <row r="17" ht="12.75" spans="1:10">
      <c r="A17" s="49"/>
      <c r="B17" s="49"/>
      <c r="C17" s="49"/>
      <c r="D17" s="49"/>
      <c r="E17" s="50"/>
      <c r="F17" s="50"/>
      <c r="G17" s="49"/>
      <c r="H17" s="50"/>
      <c r="I17" s="50"/>
      <c r="J17" s="50"/>
    </row>
    <row r="18" spans="1:11">
      <c r="A18" s="38" t="s">
        <v>95</v>
      </c>
      <c r="B18" s="51" t="s">
        <v>1</v>
      </c>
      <c r="C18" s="51" t="s">
        <v>96</v>
      </c>
      <c r="D18" s="51" t="s">
        <v>97</v>
      </c>
      <c r="E18" s="51" t="s">
        <v>98</v>
      </c>
      <c r="F18" s="51" t="s">
        <v>99</v>
      </c>
      <c r="G18" s="39" t="s">
        <v>100</v>
      </c>
      <c r="H18" s="39" t="s">
        <v>100</v>
      </c>
      <c r="I18" s="65" t="s">
        <v>101</v>
      </c>
      <c r="J18" s="66"/>
      <c r="K18" s="67" t="s">
        <v>5</v>
      </c>
    </row>
    <row r="19" spans="1:11">
      <c r="A19" s="40"/>
      <c r="B19" s="52"/>
      <c r="C19" s="52"/>
      <c r="D19" s="52"/>
      <c r="E19" s="52"/>
      <c r="F19" s="52"/>
      <c r="G19" s="41" t="s">
        <v>102</v>
      </c>
      <c r="H19" s="41" t="s">
        <v>103</v>
      </c>
      <c r="I19" s="68"/>
      <c r="J19" s="69"/>
      <c r="K19" s="61"/>
    </row>
    <row r="20" spans="1:11">
      <c r="A20" s="40" t="s">
        <v>142</v>
      </c>
      <c r="B20" s="53">
        <v>1</v>
      </c>
      <c r="C20" s="43" t="s">
        <v>143</v>
      </c>
      <c r="D20" s="43" t="s">
        <v>144</v>
      </c>
      <c r="E20" s="44" t="s">
        <v>109</v>
      </c>
      <c r="F20" s="41" t="s">
        <v>145</v>
      </c>
      <c r="G20" s="45">
        <v>1</v>
      </c>
      <c r="H20" s="43">
        <v>1</v>
      </c>
      <c r="I20" s="63">
        <v>25700</v>
      </c>
      <c r="J20" s="43">
        <f t="shared" ref="J20:J24" si="1">I20*H20</f>
        <v>25700</v>
      </c>
      <c r="K20" s="61"/>
    </row>
    <row r="21" ht="24" spans="1:11">
      <c r="A21" s="40"/>
      <c r="B21" s="53">
        <v>2</v>
      </c>
      <c r="C21" s="54" t="s">
        <v>146</v>
      </c>
      <c r="D21" s="54" t="s">
        <v>147</v>
      </c>
      <c r="E21" s="55" t="s">
        <v>148</v>
      </c>
      <c r="F21" s="54" t="s">
        <v>149</v>
      </c>
      <c r="G21" s="45">
        <v>2</v>
      </c>
      <c r="H21" s="43">
        <v>3</v>
      </c>
      <c r="I21" s="63">
        <v>25700</v>
      </c>
      <c r="J21" s="43">
        <f t="shared" si="1"/>
        <v>77100</v>
      </c>
      <c r="K21" s="61"/>
    </row>
    <row r="22" ht="24" spans="1:11">
      <c r="A22" s="40"/>
      <c r="B22" s="53">
        <v>3</v>
      </c>
      <c r="C22" s="54" t="s">
        <v>150</v>
      </c>
      <c r="D22" s="54" t="s">
        <v>151</v>
      </c>
      <c r="E22" s="55" t="s">
        <v>152</v>
      </c>
      <c r="F22" s="54" t="s">
        <v>153</v>
      </c>
      <c r="G22" s="45">
        <v>1</v>
      </c>
      <c r="H22" s="43">
        <v>1</v>
      </c>
      <c r="I22" s="63">
        <v>25700</v>
      </c>
      <c r="J22" s="43">
        <f t="shared" si="1"/>
        <v>25700</v>
      </c>
      <c r="K22" s="61"/>
    </row>
    <row r="23" ht="24" spans="1:11">
      <c r="A23" s="40"/>
      <c r="B23" s="53">
        <v>4</v>
      </c>
      <c r="C23" s="54" t="s">
        <v>154</v>
      </c>
      <c r="D23" s="54" t="s">
        <v>155</v>
      </c>
      <c r="E23" s="55" t="s">
        <v>156</v>
      </c>
      <c r="F23" s="54" t="s">
        <v>157</v>
      </c>
      <c r="G23" s="45">
        <v>2</v>
      </c>
      <c r="H23" s="43">
        <v>3</v>
      </c>
      <c r="I23" s="63">
        <v>25700</v>
      </c>
      <c r="J23" s="43">
        <f t="shared" si="1"/>
        <v>77100</v>
      </c>
      <c r="K23" s="61"/>
    </row>
    <row r="24" spans="1:11">
      <c r="A24" s="56"/>
      <c r="B24" s="57"/>
      <c r="C24" s="54" t="s">
        <v>158</v>
      </c>
      <c r="D24" s="54" t="s">
        <v>159</v>
      </c>
      <c r="E24" s="55" t="s">
        <v>156</v>
      </c>
      <c r="F24" s="54" t="s">
        <v>160</v>
      </c>
      <c r="G24" s="45">
        <v>2</v>
      </c>
      <c r="H24" s="43">
        <v>3</v>
      </c>
      <c r="I24" s="63">
        <v>25700</v>
      </c>
      <c r="J24" s="43">
        <f t="shared" si="1"/>
        <v>77100</v>
      </c>
      <c r="K24" s="61"/>
    </row>
    <row r="25" spans="1:11">
      <c r="A25" s="56"/>
      <c r="B25" s="57"/>
      <c r="C25" s="57"/>
      <c r="D25" s="57"/>
      <c r="E25" s="57"/>
      <c r="F25" s="57"/>
      <c r="G25" s="57">
        <f>SUM(G7:G15,G20:G24)</f>
        <v>20</v>
      </c>
      <c r="H25" s="57">
        <f>SUM(H7:H24)</f>
        <v>29</v>
      </c>
      <c r="I25" s="57"/>
      <c r="J25" s="57"/>
      <c r="K25" s="61"/>
    </row>
    <row r="26" spans="1:11">
      <c r="A26" s="56"/>
      <c r="B26" s="57"/>
      <c r="C26" s="41" t="s">
        <v>89</v>
      </c>
      <c r="D26" s="41"/>
      <c r="E26" s="41"/>
      <c r="F26" s="41"/>
      <c r="G26" s="41"/>
      <c r="H26" s="41"/>
      <c r="I26" s="41"/>
      <c r="J26" s="41">
        <f>SUM(J6:J15,J20:J24)</f>
        <v>806980</v>
      </c>
      <c r="K26" s="61"/>
    </row>
    <row r="27" spans="1:11">
      <c r="A27" s="56"/>
      <c r="B27" s="57"/>
      <c r="C27" s="41" t="s">
        <v>90</v>
      </c>
      <c r="D27" s="41"/>
      <c r="E27" s="41"/>
      <c r="F27" s="41"/>
      <c r="G27" s="41"/>
      <c r="H27" s="41"/>
      <c r="I27" s="41"/>
      <c r="J27" s="41">
        <f>ROUND(J26*6%,0)</f>
        <v>48419</v>
      </c>
      <c r="K27" s="61"/>
    </row>
    <row r="28" ht="12.75" spans="1:11">
      <c r="A28" s="58"/>
      <c r="B28" s="59"/>
      <c r="C28" s="48" t="s">
        <v>91</v>
      </c>
      <c r="D28" s="48"/>
      <c r="E28" s="48"/>
      <c r="F28" s="48"/>
      <c r="G28" s="48"/>
      <c r="H28" s="48"/>
      <c r="I28" s="48"/>
      <c r="J28" s="48">
        <f>J26+J27</f>
        <v>855399</v>
      </c>
      <c r="K28" s="70"/>
    </row>
  </sheetData>
  <mergeCells count="30">
    <mergeCell ref="A2:J2"/>
    <mergeCell ref="I3:J3"/>
    <mergeCell ref="C26:H26"/>
    <mergeCell ref="C27:H27"/>
    <mergeCell ref="C28:H28"/>
    <mergeCell ref="A3:A4"/>
    <mergeCell ref="A5:A9"/>
    <mergeCell ref="A11:A15"/>
    <mergeCell ref="A18:A19"/>
    <mergeCell ref="A20:A23"/>
    <mergeCell ref="B3:B4"/>
    <mergeCell ref="B5:B6"/>
    <mergeCell ref="B7:B8"/>
    <mergeCell ref="B11:B12"/>
    <mergeCell ref="B13:B15"/>
    <mergeCell ref="B18:B19"/>
    <mergeCell ref="C3:C4"/>
    <mergeCell ref="C18:C19"/>
    <mergeCell ref="D3:D4"/>
    <mergeCell ref="D18:D19"/>
    <mergeCell ref="E3:E4"/>
    <mergeCell ref="E11:E12"/>
    <mergeCell ref="E13:E15"/>
    <mergeCell ref="E18:E19"/>
    <mergeCell ref="F3:F4"/>
    <mergeCell ref="F18:F19"/>
    <mergeCell ref="K3:K4"/>
    <mergeCell ref="K5:K16"/>
    <mergeCell ref="K19:K28"/>
    <mergeCell ref="I18:J19"/>
  </mergeCells>
  <pageMargins left="0.7" right="0.7" top="0.75" bottom="0.75" header="0.3" footer="0.3"/>
  <pageSetup paperSize="9" scale="98"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view="pageBreakPreview" zoomScaleNormal="100" workbookViewId="0">
      <selection activeCell="A9" sqref="A9:E9"/>
    </sheetView>
  </sheetViews>
  <sheetFormatPr defaultColWidth="9" defaultRowHeight="13.5"/>
  <cols>
    <col min="1" max="1" width="7.75" customWidth="1"/>
    <col min="2" max="2" width="19.8833333333333" customWidth="1"/>
    <col min="3" max="3" width="18.6333333333333" customWidth="1"/>
    <col min="4" max="4" width="13.5" customWidth="1"/>
    <col min="5" max="5" width="11.1333333333333" customWidth="1"/>
    <col min="6" max="6" width="10.25" customWidth="1"/>
    <col min="7" max="7" width="20.3333333333333" customWidth="1"/>
  </cols>
  <sheetData>
    <row r="1" spans="1:8">
      <c r="A1" s="32" t="s">
        <v>161</v>
      </c>
      <c r="B1" s="2"/>
      <c r="C1" s="2"/>
      <c r="D1" s="3"/>
      <c r="E1" s="2"/>
      <c r="F1" s="2"/>
      <c r="G1" s="2"/>
      <c r="H1" s="2"/>
    </row>
    <row r="2" ht="24" customHeight="1" spans="1:7">
      <c r="A2" s="33" t="s">
        <v>162</v>
      </c>
      <c r="B2" s="33"/>
      <c r="C2" s="33"/>
      <c r="D2" s="33"/>
      <c r="E2" s="33"/>
      <c r="F2" s="33"/>
      <c r="G2" s="33"/>
    </row>
    <row r="3" ht="15.75" spans="1:7">
      <c r="A3" s="33"/>
      <c r="B3" s="33"/>
      <c r="C3" s="33"/>
      <c r="D3" s="33"/>
      <c r="E3" s="33"/>
      <c r="F3" s="33"/>
      <c r="G3" s="33"/>
    </row>
    <row r="4" ht="33.9" customHeight="1" spans="1:7">
      <c r="A4" s="27" t="s">
        <v>1</v>
      </c>
      <c r="B4" s="27" t="s">
        <v>69</v>
      </c>
      <c r="C4" s="27" t="s">
        <v>163</v>
      </c>
      <c r="D4" s="27" t="s">
        <v>164</v>
      </c>
      <c r="E4" s="27" t="s">
        <v>33</v>
      </c>
      <c r="F4" s="27" t="s">
        <v>34</v>
      </c>
      <c r="G4" s="27" t="s">
        <v>5</v>
      </c>
    </row>
    <row r="5" ht="30" customHeight="1" spans="1:9">
      <c r="A5" s="27">
        <v>1</v>
      </c>
      <c r="B5" s="27" t="s">
        <v>165</v>
      </c>
      <c r="C5" s="34">
        <f>[1]计算依据!I13/1000</f>
        <v>27.798</v>
      </c>
      <c r="D5" s="27">
        <v>3</v>
      </c>
      <c r="E5" s="27">
        <v>7200</v>
      </c>
      <c r="F5" s="27">
        <f>ROUND(E5*C5*D5,0)</f>
        <v>600437</v>
      </c>
      <c r="G5" s="34"/>
      <c r="I5" s="35"/>
    </row>
    <row r="6" ht="30" customHeight="1" spans="1:7">
      <c r="A6" s="27">
        <v>2</v>
      </c>
      <c r="B6" s="27" t="s">
        <v>166</v>
      </c>
      <c r="C6" s="34">
        <v>27.798</v>
      </c>
      <c r="D6" s="27"/>
      <c r="E6" s="27">
        <v>10500</v>
      </c>
      <c r="F6" s="27">
        <f>ROUND(E6*C6,0)</f>
        <v>291879</v>
      </c>
      <c r="G6" s="34"/>
    </row>
    <row r="7" ht="30" customHeight="1" spans="1:11">
      <c r="A7" s="27" t="s">
        <v>167</v>
      </c>
      <c r="B7" s="27"/>
      <c r="C7" s="27"/>
      <c r="D7" s="27"/>
      <c r="E7" s="27"/>
      <c r="F7" s="27">
        <f>F5+F6</f>
        <v>892316</v>
      </c>
      <c r="G7" s="34"/>
      <c r="K7" s="35"/>
    </row>
    <row r="8" ht="30" customHeight="1" spans="1:7">
      <c r="A8" s="27" t="s">
        <v>168</v>
      </c>
      <c r="B8" s="27"/>
      <c r="C8" s="27"/>
      <c r="D8" s="27"/>
      <c r="E8" s="27"/>
      <c r="F8" s="27">
        <f>ROUND(F7*6%,0)</f>
        <v>53539</v>
      </c>
      <c r="G8" s="34"/>
    </row>
    <row r="9" ht="30" customHeight="1" spans="1:7">
      <c r="A9" s="27" t="s">
        <v>91</v>
      </c>
      <c r="B9" s="27"/>
      <c r="C9" s="27"/>
      <c r="D9" s="27"/>
      <c r="E9" s="27"/>
      <c r="F9" s="27">
        <f>F7+F8</f>
        <v>945855</v>
      </c>
      <c r="G9" s="27"/>
    </row>
  </sheetData>
  <mergeCells count="5">
    <mergeCell ref="A2:G2"/>
    <mergeCell ref="A7:E7"/>
    <mergeCell ref="A8:E8"/>
    <mergeCell ref="A9:E9"/>
    <mergeCell ref="G5:G8"/>
  </mergeCell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view="pageBreakPreview" zoomScale="115" zoomScaleNormal="100" workbookViewId="0">
      <selection activeCell="A12" sqref="A12:B12"/>
    </sheetView>
  </sheetViews>
  <sheetFormatPr defaultColWidth="9" defaultRowHeight="13.5" outlineLevelCol="4"/>
  <cols>
    <col min="1" max="1" width="6.88333333333333" customWidth="1"/>
    <col min="2" max="2" width="40.625" customWidth="1"/>
    <col min="3" max="4" width="16.625" customWidth="1"/>
    <col min="5" max="5" width="25.625" customWidth="1"/>
  </cols>
  <sheetData>
    <row r="1" ht="21.9" customHeight="1" spans="1:1">
      <c r="A1" s="23" t="s">
        <v>13</v>
      </c>
    </row>
    <row r="2" ht="33.9" customHeight="1" spans="1:5">
      <c r="A2" s="24" t="s">
        <v>169</v>
      </c>
      <c r="B2" s="24"/>
      <c r="C2" s="24"/>
      <c r="D2" s="24"/>
      <c r="E2" s="24"/>
    </row>
    <row r="3" ht="24.9" customHeight="1" spans="1:5">
      <c r="A3" s="25" t="s">
        <v>1</v>
      </c>
      <c r="B3" s="25" t="s">
        <v>2</v>
      </c>
      <c r="C3" s="25" t="s">
        <v>3</v>
      </c>
      <c r="D3" s="25" t="s">
        <v>4</v>
      </c>
      <c r="E3" s="25" t="s">
        <v>5</v>
      </c>
    </row>
    <row r="4" ht="24.9" customHeight="1" spans="1:5">
      <c r="A4" s="25"/>
      <c r="B4" s="25"/>
      <c r="C4" s="25"/>
      <c r="D4" s="25" t="s">
        <v>6</v>
      </c>
      <c r="E4" s="25"/>
    </row>
    <row r="5" ht="24.9" customHeight="1" spans="1:5">
      <c r="A5" s="25">
        <v>1</v>
      </c>
      <c r="B5" s="25" t="s">
        <v>15</v>
      </c>
      <c r="C5" s="25">
        <f>'外观 (寂静互通)'!H10</f>
        <v>60029</v>
      </c>
      <c r="D5" s="25"/>
      <c r="E5" s="25"/>
    </row>
    <row r="6" ht="24.9" customHeight="1" spans="1:5">
      <c r="A6" s="25">
        <v>2</v>
      </c>
      <c r="B6" s="26" t="s">
        <v>16</v>
      </c>
      <c r="C6" s="26">
        <f>'路面 (寂静互通)'!G11</f>
        <v>6305</v>
      </c>
      <c r="D6" s="25"/>
      <c r="E6" s="27"/>
    </row>
    <row r="7" ht="24.9" customHeight="1" spans="1:5">
      <c r="A7" s="25">
        <v>3</v>
      </c>
      <c r="B7" s="25" t="s">
        <v>170</v>
      </c>
      <c r="C7" s="25">
        <f>SUM(C5:C6)</f>
        <v>66334</v>
      </c>
      <c r="D7" s="25"/>
      <c r="E7" s="25"/>
    </row>
    <row r="8" ht="24.9" customHeight="1" spans="1:5">
      <c r="A8" s="25">
        <v>4</v>
      </c>
      <c r="B8" s="25" t="s">
        <v>171</v>
      </c>
      <c r="C8" s="28">
        <f>ROUND(C7*2%,0)</f>
        <v>1327</v>
      </c>
      <c r="D8" s="25"/>
      <c r="E8" s="25"/>
    </row>
    <row r="9" ht="39.6" customHeight="1" spans="1:5">
      <c r="A9" s="25">
        <v>5</v>
      </c>
      <c r="B9" s="25" t="s">
        <v>172</v>
      </c>
      <c r="C9" s="25">
        <v>12000</v>
      </c>
      <c r="D9" s="25"/>
      <c r="E9" s="27" t="s">
        <v>173</v>
      </c>
    </row>
    <row r="10" ht="39.6" customHeight="1" spans="1:5">
      <c r="A10" s="25">
        <v>6</v>
      </c>
      <c r="B10" s="25" t="s">
        <v>21</v>
      </c>
      <c r="C10" s="25">
        <v>40000</v>
      </c>
      <c r="D10" s="25"/>
      <c r="E10" s="27" t="s">
        <v>174</v>
      </c>
    </row>
    <row r="11" ht="24.9" customHeight="1" spans="1:5">
      <c r="A11" s="25">
        <v>7</v>
      </c>
      <c r="B11" s="25" t="s">
        <v>23</v>
      </c>
      <c r="C11" s="28">
        <v>20000</v>
      </c>
      <c r="D11" s="25"/>
      <c r="E11" s="25"/>
    </row>
    <row r="12" ht="24.9" customHeight="1" spans="1:5">
      <c r="A12" s="25" t="s">
        <v>175</v>
      </c>
      <c r="B12" s="25"/>
      <c r="C12" s="28">
        <f>SUM(C7:C11)</f>
        <v>139661</v>
      </c>
      <c r="D12" s="25"/>
      <c r="E12" s="25"/>
    </row>
    <row r="13" ht="24.9" customHeight="1" spans="1:5">
      <c r="A13" s="29" t="s">
        <v>12</v>
      </c>
      <c r="B13" s="30"/>
      <c r="C13" s="30"/>
      <c r="D13" s="30"/>
      <c r="E13" s="31"/>
    </row>
  </sheetData>
  <mergeCells count="7">
    <mergeCell ref="A2:E2"/>
    <mergeCell ref="A12:B12"/>
    <mergeCell ref="A13:E13"/>
    <mergeCell ref="A3:A4"/>
    <mergeCell ref="B3:B4"/>
    <mergeCell ref="C3:C4"/>
    <mergeCell ref="E3:E4"/>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view="pageBreakPreview" zoomScaleNormal="100" workbookViewId="0">
      <selection activeCell="C9" sqref="C9"/>
    </sheetView>
  </sheetViews>
  <sheetFormatPr defaultColWidth="9" defaultRowHeight="13.5"/>
  <cols>
    <col min="1" max="1" width="6.775" style="12" customWidth="1"/>
    <col min="2" max="2" width="10.625" style="12" customWidth="1"/>
    <col min="3" max="3" width="20.6666666666667" style="12" customWidth="1"/>
    <col min="4" max="4" width="35.3333333333333" style="12" customWidth="1"/>
    <col min="5" max="8" width="10.625" style="12" customWidth="1"/>
    <col min="9" max="9" width="10.625" customWidth="1"/>
    <col min="10" max="16384" width="9" style="12"/>
  </cols>
  <sheetData>
    <row r="1" ht="14.25" spans="1:8">
      <c r="A1" s="13" t="s">
        <v>25</v>
      </c>
      <c r="B1" s="14"/>
      <c r="C1" s="14"/>
      <c r="D1" s="14"/>
      <c r="E1" s="14"/>
      <c r="F1" s="14"/>
      <c r="G1" s="14"/>
      <c r="H1" s="14"/>
    </row>
    <row r="2" ht="27.9" customHeight="1" spans="1:8">
      <c r="A2" s="15" t="s">
        <v>176</v>
      </c>
      <c r="B2" s="15"/>
      <c r="C2" s="15"/>
      <c r="D2" s="15"/>
      <c r="E2" s="15"/>
      <c r="F2" s="15"/>
      <c r="G2" s="15"/>
      <c r="H2" s="15"/>
    </row>
    <row r="3" ht="21.9" customHeight="1" spans="1:9">
      <c r="A3" s="16" t="s">
        <v>1</v>
      </c>
      <c r="B3" s="16" t="s">
        <v>27</v>
      </c>
      <c r="C3" s="16" t="s">
        <v>28</v>
      </c>
      <c r="D3" s="16" t="s">
        <v>29</v>
      </c>
      <c r="E3" s="16" t="s">
        <v>30</v>
      </c>
      <c r="F3" s="16"/>
      <c r="G3" s="16"/>
      <c r="H3" s="16"/>
      <c r="I3" s="16"/>
    </row>
    <row r="4" ht="26" customHeight="1" spans="1:9">
      <c r="A4" s="16"/>
      <c r="B4" s="16"/>
      <c r="C4" s="16"/>
      <c r="D4" s="16"/>
      <c r="E4" s="16" t="s">
        <v>31</v>
      </c>
      <c r="F4" s="16" t="s">
        <v>32</v>
      </c>
      <c r="G4" s="16" t="s">
        <v>33</v>
      </c>
      <c r="H4" s="16" t="s">
        <v>34</v>
      </c>
      <c r="I4" s="16" t="s">
        <v>5</v>
      </c>
    </row>
    <row r="5" ht="72.9" customHeight="1" spans="1:9">
      <c r="A5" s="16">
        <v>1</v>
      </c>
      <c r="B5" s="16" t="s">
        <v>35</v>
      </c>
      <c r="C5" s="18" t="s">
        <v>177</v>
      </c>
      <c r="D5" s="16" t="s">
        <v>37</v>
      </c>
      <c r="E5" s="16" t="s">
        <v>178</v>
      </c>
      <c r="F5" s="19">
        <v>3.105</v>
      </c>
      <c r="G5" s="16">
        <v>816</v>
      </c>
      <c r="H5" s="20">
        <f t="shared" ref="H5:H9" si="0">ROUND(F5*G5,0)</f>
        <v>2534</v>
      </c>
      <c r="I5" s="20"/>
    </row>
    <row r="6" ht="45.9" customHeight="1" spans="1:9">
      <c r="A6" s="16">
        <v>2</v>
      </c>
      <c r="B6" s="16" t="s">
        <v>39</v>
      </c>
      <c r="C6" s="16" t="s">
        <v>40</v>
      </c>
      <c r="D6" s="16" t="s">
        <v>41</v>
      </c>
      <c r="E6" s="16" t="s">
        <v>178</v>
      </c>
      <c r="F6" s="19">
        <v>4.352</v>
      </c>
      <c r="G6" s="16">
        <v>198</v>
      </c>
      <c r="H6" s="20">
        <f t="shared" si="0"/>
        <v>862</v>
      </c>
      <c r="I6" s="20"/>
    </row>
    <row r="7" ht="63.9" customHeight="1" spans="1:9">
      <c r="A7" s="21">
        <v>3</v>
      </c>
      <c r="B7" s="21" t="s">
        <v>43</v>
      </c>
      <c r="C7" s="16" t="s">
        <v>156</v>
      </c>
      <c r="D7" s="16" t="s">
        <v>45</v>
      </c>
      <c r="E7" s="16" t="s">
        <v>46</v>
      </c>
      <c r="F7" s="16">
        <v>20</v>
      </c>
      <c r="G7" s="16">
        <v>1215</v>
      </c>
      <c r="H7" s="20">
        <f t="shared" si="0"/>
        <v>24300</v>
      </c>
      <c r="I7" s="20" t="s">
        <v>179</v>
      </c>
    </row>
    <row r="8" ht="63.9" customHeight="1" spans="1:9">
      <c r="A8" s="17"/>
      <c r="B8" s="17"/>
      <c r="C8" s="22" t="s">
        <v>180</v>
      </c>
      <c r="D8" s="16"/>
      <c r="E8" s="16" t="s">
        <v>181</v>
      </c>
      <c r="F8" s="19">
        <v>5</v>
      </c>
      <c r="G8" s="16">
        <v>6000</v>
      </c>
      <c r="H8" s="20">
        <f t="shared" si="0"/>
        <v>30000</v>
      </c>
      <c r="I8" s="20" t="s">
        <v>182</v>
      </c>
    </row>
    <row r="9" ht="51" spans="1:9">
      <c r="A9" s="16">
        <v>4</v>
      </c>
      <c r="B9" s="16" t="s">
        <v>57</v>
      </c>
      <c r="C9" s="22" t="s">
        <v>183</v>
      </c>
      <c r="D9" s="16" t="s">
        <v>59</v>
      </c>
      <c r="E9" s="16" t="s">
        <v>178</v>
      </c>
      <c r="F9" s="19">
        <v>3.105</v>
      </c>
      <c r="G9" s="16">
        <v>751.5</v>
      </c>
      <c r="H9" s="20">
        <f t="shared" si="0"/>
        <v>2333</v>
      </c>
      <c r="I9" s="20"/>
    </row>
    <row r="10" ht="24.9" customHeight="1" spans="1:9">
      <c r="A10" s="16">
        <v>5</v>
      </c>
      <c r="B10" s="16" t="s">
        <v>184</v>
      </c>
      <c r="C10" s="16"/>
      <c r="D10" s="16"/>
      <c r="E10" s="16"/>
      <c r="F10" s="16"/>
      <c r="G10" s="16"/>
      <c r="H10" s="20">
        <f>SUM(H5:H9)</f>
        <v>60029</v>
      </c>
      <c r="I10" s="20"/>
    </row>
    <row r="11" ht="24" customHeight="1" spans="1:8">
      <c r="A11" s="9" t="s">
        <v>185</v>
      </c>
      <c r="B11" s="9"/>
      <c r="C11" s="9"/>
      <c r="D11" s="9"/>
      <c r="E11" s="9"/>
      <c r="F11" s="9"/>
      <c r="G11" s="9"/>
      <c r="H11" s="9"/>
    </row>
  </sheetData>
  <mergeCells count="10">
    <mergeCell ref="A2:H2"/>
    <mergeCell ref="E3:I3"/>
    <mergeCell ref="B10:G10"/>
    <mergeCell ref="A11:H11"/>
    <mergeCell ref="A3:A4"/>
    <mergeCell ref="A7:A8"/>
    <mergeCell ref="B3:B4"/>
    <mergeCell ref="B7:B8"/>
    <mergeCell ref="C3:C4"/>
    <mergeCell ref="D3:D4"/>
  </mergeCell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view="pageBreakPreview" zoomScaleNormal="100" workbookViewId="0">
      <selection activeCell="C9" sqref="C9"/>
    </sheetView>
  </sheetViews>
  <sheetFormatPr defaultColWidth="9" defaultRowHeight="13.5" outlineLevelCol="7"/>
  <cols>
    <col min="1" max="1" width="10" customWidth="1"/>
    <col min="2" max="2" width="11" customWidth="1"/>
    <col min="3" max="3" width="15.6666666666667" customWidth="1"/>
    <col min="4" max="4" width="13.3333333333333" style="1" customWidth="1"/>
    <col min="5" max="5" width="24.1083333333333" customWidth="1"/>
    <col min="6" max="6" width="9.40833333333333" customWidth="1"/>
    <col min="7" max="7" width="11.4666666666667" customWidth="1"/>
    <col min="8" max="8" width="24.2666666666667" customWidth="1"/>
    <col min="10" max="10" width="29" customWidth="1"/>
  </cols>
  <sheetData>
    <row r="1" spans="1:8">
      <c r="A1" s="2" t="s">
        <v>65</v>
      </c>
      <c r="B1" s="2"/>
      <c r="C1" s="2"/>
      <c r="D1" s="3"/>
      <c r="E1" s="2"/>
      <c r="F1" s="2"/>
      <c r="G1" s="2"/>
      <c r="H1" s="2"/>
    </row>
    <row r="2" ht="32.1" customHeight="1" spans="1:8">
      <c r="A2" s="4" t="s">
        <v>186</v>
      </c>
      <c r="B2" s="4"/>
      <c r="C2" s="4"/>
      <c r="D2" s="4"/>
      <c r="E2" s="4"/>
      <c r="F2" s="4"/>
      <c r="G2" s="4"/>
      <c r="H2" s="4"/>
    </row>
    <row r="3" ht="35.1" customHeight="1" spans="1:8">
      <c r="A3" s="5" t="s">
        <v>67</v>
      </c>
      <c r="B3" s="5" t="s">
        <v>68</v>
      </c>
      <c r="C3" s="5" t="s">
        <v>69</v>
      </c>
      <c r="D3" s="6" t="s">
        <v>187</v>
      </c>
      <c r="E3" s="5" t="s">
        <v>71</v>
      </c>
      <c r="F3" s="5" t="s">
        <v>33</v>
      </c>
      <c r="G3" s="5" t="s">
        <v>34</v>
      </c>
      <c r="H3" s="5" t="s">
        <v>5</v>
      </c>
    </row>
    <row r="4" ht="35.1" customHeight="1" spans="1:8">
      <c r="A4" s="5" t="s">
        <v>188</v>
      </c>
      <c r="B4" s="5" t="s">
        <v>39</v>
      </c>
      <c r="C4" s="7" t="s">
        <v>73</v>
      </c>
      <c r="D4" s="8">
        <v>3.98</v>
      </c>
      <c r="E4" s="7" t="s">
        <v>189</v>
      </c>
      <c r="F4" s="5">
        <f>1000*0.6</f>
        <v>600</v>
      </c>
      <c r="G4" s="7">
        <f t="shared" ref="G4:G10" si="0">ROUND(D4*F4,0)</f>
        <v>2388</v>
      </c>
      <c r="H4" s="7" t="s">
        <v>190</v>
      </c>
    </row>
    <row r="5" ht="35.1" customHeight="1" spans="1:8">
      <c r="A5" s="5"/>
      <c r="B5" s="5"/>
      <c r="C5" s="7" t="s">
        <v>76</v>
      </c>
      <c r="D5" s="8">
        <v>4.352</v>
      </c>
      <c r="E5" s="7" t="s">
        <v>191</v>
      </c>
      <c r="F5" s="5">
        <f>200*0.6</f>
        <v>120</v>
      </c>
      <c r="G5" s="7">
        <f t="shared" si="0"/>
        <v>522</v>
      </c>
      <c r="H5" s="7" t="s">
        <v>192</v>
      </c>
    </row>
    <row r="6" ht="35.1" customHeight="1" spans="1:8">
      <c r="A6" s="5"/>
      <c r="B6" s="5"/>
      <c r="C6" s="7" t="s">
        <v>79</v>
      </c>
      <c r="D6" s="8">
        <v>4.352</v>
      </c>
      <c r="E6" s="7" t="s">
        <v>193</v>
      </c>
      <c r="F6" s="5">
        <f>500*0.6</f>
        <v>300</v>
      </c>
      <c r="G6" s="7">
        <f t="shared" si="0"/>
        <v>1306</v>
      </c>
      <c r="H6" s="7" t="s">
        <v>194</v>
      </c>
    </row>
    <row r="7" ht="35.1" customHeight="1" spans="1:8">
      <c r="A7" s="5"/>
      <c r="B7" s="5"/>
      <c r="C7" s="7" t="s">
        <v>81</v>
      </c>
      <c r="D7" s="8">
        <v>4.352</v>
      </c>
      <c r="E7" s="7" t="s">
        <v>193</v>
      </c>
      <c r="F7" s="5">
        <f>500*0.6</f>
        <v>300</v>
      </c>
      <c r="G7" s="7">
        <f t="shared" si="0"/>
        <v>1306</v>
      </c>
      <c r="H7" s="7" t="s">
        <v>195</v>
      </c>
    </row>
    <row r="8" ht="35.1" customHeight="1" spans="1:8">
      <c r="A8" s="5"/>
      <c r="B8" s="5"/>
      <c r="C8" s="7" t="s">
        <v>83</v>
      </c>
      <c r="D8" s="8">
        <v>0</v>
      </c>
      <c r="E8" s="7" t="s">
        <v>196</v>
      </c>
      <c r="F8" s="5">
        <f>800*0.6</f>
        <v>480</v>
      </c>
      <c r="G8" s="7">
        <f t="shared" si="0"/>
        <v>0</v>
      </c>
      <c r="H8" s="7" t="s">
        <v>84</v>
      </c>
    </row>
    <row r="9" ht="35.1" customHeight="1" spans="1:8">
      <c r="A9" s="5"/>
      <c r="B9" s="5"/>
      <c r="C9" s="7" t="s">
        <v>85</v>
      </c>
      <c r="D9" s="8">
        <v>0</v>
      </c>
      <c r="E9" s="7" t="s">
        <v>196</v>
      </c>
      <c r="F9" s="5">
        <f>250*0.6</f>
        <v>150</v>
      </c>
      <c r="G9" s="7">
        <f t="shared" si="0"/>
        <v>0</v>
      </c>
      <c r="H9" s="7" t="s">
        <v>86</v>
      </c>
    </row>
    <row r="10" ht="35.1" customHeight="1" spans="1:8">
      <c r="A10" s="5"/>
      <c r="B10" s="5"/>
      <c r="C10" s="7" t="s">
        <v>87</v>
      </c>
      <c r="D10" s="8">
        <v>4.352</v>
      </c>
      <c r="E10" s="7" t="s">
        <v>197</v>
      </c>
      <c r="F10" s="5">
        <f>300*0.6</f>
        <v>180</v>
      </c>
      <c r="G10" s="7">
        <f t="shared" si="0"/>
        <v>783</v>
      </c>
      <c r="H10" s="7" t="s">
        <v>198</v>
      </c>
    </row>
    <row r="11" ht="35.1" customHeight="1" spans="1:8">
      <c r="A11" s="5" t="s">
        <v>89</v>
      </c>
      <c r="B11" s="5"/>
      <c r="C11" s="5"/>
      <c r="D11" s="5"/>
      <c r="E11" s="5"/>
      <c r="F11" s="5"/>
      <c r="G11" s="5">
        <f>SUM(G4:G10)</f>
        <v>6305</v>
      </c>
      <c r="H11" s="5"/>
    </row>
    <row r="12" ht="24.9" customHeight="1" spans="1:8">
      <c r="A12" s="9" t="s">
        <v>185</v>
      </c>
      <c r="B12" s="9"/>
      <c r="C12" s="9"/>
      <c r="D12" s="9"/>
      <c r="E12" s="9"/>
      <c r="F12" s="9"/>
      <c r="G12" s="9"/>
      <c r="H12" s="9"/>
    </row>
  </sheetData>
  <mergeCells count="5">
    <mergeCell ref="A2:H2"/>
    <mergeCell ref="A11:F11"/>
    <mergeCell ref="A12:H12"/>
    <mergeCell ref="A4:A10"/>
    <mergeCell ref="B4:B10"/>
  </mergeCells>
  <pageMargins left="0.7" right="0.7" top="0.75" bottom="0.75" header="0.3" footer="0.3"/>
  <pageSetup paperSize="9" fitToWidth="0"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汇总</vt:lpstr>
      <vt:lpstr>汇总 （城开A1交工检测）</vt:lpstr>
      <vt:lpstr>外观（城开A1交工检测）</vt:lpstr>
      <vt:lpstr>路面（城开A1交工检测）</vt:lpstr>
      <vt:lpstr>荷载试验（城开A1交工检测）</vt:lpstr>
      <vt:lpstr>隧道雷达（城开A1交工检测）</vt:lpstr>
      <vt:lpstr>汇总 (寂静互通)</vt:lpstr>
      <vt:lpstr>外观 (寂静互通)</vt:lpstr>
      <vt:lpstr>路面 (寂静互通)</vt:lpstr>
      <vt:lpstr>汇总 (春华立交)</vt:lpstr>
      <vt:lpstr>外观 (春华立交)</vt:lpstr>
      <vt:lpstr>路面 (春华立交)</vt:lpstr>
      <vt:lpstr>汇总 (龙凤溪互通)</vt:lpstr>
      <vt:lpstr>外观(龙凤溪互通)</vt:lpstr>
      <vt:lpstr>路面(龙凤溪互通)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dc:creator>
  <cp:lastModifiedBy>『李三岁』</cp:lastModifiedBy>
  <dcterms:created xsi:type="dcterms:W3CDTF">2023-06-12T08:21:00Z</dcterms:created>
  <dcterms:modified xsi:type="dcterms:W3CDTF">2023-07-07T01:49:14Z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8AB6FCA2DEB843A6A144E09BD37C3505_11</vt:lpwstr>
  </property>
  <property fmtid="{D5CDD505-2E9C-101B-9397-08002B2CF9AE}" pid="3" name="KSOProductBuildVer">
    <vt:lpwstr>2052-11.1.0.14309</vt:lpwstr>
  </property>
</Properties>
</file>